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d.docs.live.net/385dbdf0a6cf8af2/Documents/Documents/FMY Consultants/Harvest Prep/2026-2027/"/>
    </mc:Choice>
  </mc:AlternateContent>
  <xr:revisionPtr revIDLastSave="108" documentId="8_{31345216-7E9C-4539-B3BA-4A2DB635EABC}" xr6:coauthVersionLast="47" xr6:coauthVersionMax="47" xr10:uidLastSave="{94F2E3BA-994D-4574-859C-C7C33EFF8C17}"/>
  <workbookProtection workbookAlgorithmName="SHA-512" workbookHashValue="xjgNGyCJRCdsdEg+pTNaC4njVmtL4SRmN4jZpbc4PR839eoFhA+Twim0ZN63bBG2wx49n9IAsuK1rzqTizNx8g==" workbookSaltValue="ezp7Xue0LST2KUT8/iLMsg==" workbookSpinCount="100000" lockStructure="1"/>
  <bookViews>
    <workbookView xWindow="-120" yWindow="-120" windowWidth="29040" windowHeight="15720" tabRatio="720" activeTab="2" xr2:uid="{00000000-000D-0000-FFFF-FFFF00000000}"/>
  </bookViews>
  <sheets>
    <sheet name="Cover" sheetId="1" r:id="rId1"/>
    <sheet name="Page 1" sheetId="2" r:id="rId2"/>
    <sheet name="Page 2" sheetId="3" r:id="rId3"/>
    <sheet name="Page 3" sheetId="9" r:id="rId4"/>
    <sheet name="Page 4" sheetId="11" r:id="rId5"/>
    <sheet name="Budget Summary" sheetId="12" r:id="rId6"/>
    <sheet name="Project balances" sheetId="22" r:id="rId7"/>
    <sheet name="Data Entry" sheetId="18" r:id="rId8"/>
    <sheet name="Calculations" sheetId="16" r:id="rId9"/>
    <sheet name="BSA55" sheetId="21" r:id="rId10"/>
    <sheet name="Instructions" sheetId="13" r:id="rId11"/>
  </sheets>
  <externalReferences>
    <externalReference r:id="rId12"/>
  </externalReferences>
  <definedNames>
    <definedName name="_CSP1000">'Page 3'!$K$8</definedName>
    <definedName name="_CSP2100">'Page 3'!$K$9</definedName>
    <definedName name="_CSP2200">'Page 3'!$K$10</definedName>
    <definedName name="_CSP2300">'Page 3'!$K$11</definedName>
    <definedName name="_CSP3300">'Page 3'!$K$12</definedName>
    <definedName name="_xlnm._FilterDatabase" localSheetId="10" hidden="1">Instructions!$D$1:$D$43</definedName>
    <definedName name="_Order1" hidden="1">255</definedName>
    <definedName name="ActAuditExpend">'Data Entry'!$C$95</definedName>
    <definedName name="AdditionalTeacherSalaryIncreaseCover" localSheetId="9">Incr200Days</definedName>
    <definedName name="AOIFTStudCnt912CY">'Data Entry'!$L$39</definedName>
    <definedName name="AOIFTStudCntDD.ED.MIID.SLD.SLI.OHI">'Data Entry'!$J$69</definedName>
    <definedName name="AOIFTStudCntEDP">'Data Entry'!$J$70</definedName>
    <definedName name="AOIFTStudCntELL">'Data Entry'!$J$59</definedName>
    <definedName name="AOIFTStudCntFRPL">'Data Entry'!$J$73</definedName>
    <definedName name="AOIFTStudCntG">'Data Entry'!$J$74</definedName>
    <definedName name="AOIFTStudCntHI">'Data Entry'!$J$62</definedName>
    <definedName name="AOIFTStudCntK3">'Data Entry'!$J$60</definedName>
    <definedName name="AOIFTStudCntK3Read">'Data Entry'!$J$61</definedName>
    <definedName name="AOIFTStudCntK8CY">'Data Entry'!$I$39</definedName>
    <definedName name="AOIFTStudCntMDR.AR.SIDR">'Data Entry'!$J$63</definedName>
    <definedName name="AOIFTStudCntMDSC.ASC.SIDSC">'Data Entry'!$J$64</definedName>
    <definedName name="AOIFTStudCntMDSSI">'Data Entry'!$J$65</definedName>
    <definedName name="AOIFTStudCntMOID">'Data Entry'!$J$71</definedName>
    <definedName name="AOIFTStudCntOIR">'Data Entry'!$J$66</definedName>
    <definedName name="AOIFTStudCntOISC">'Data Entry'!$J$67</definedName>
    <definedName name="AOIFTStudCntP.SD">'Data Entry'!$J$68</definedName>
    <definedName name="AOIFTStudCntVI">'Data Entry'!$J$72</definedName>
    <definedName name="AOIPTStudCnt912CY">'Data Entry'!$L$40</definedName>
    <definedName name="AOIPTStudCntDD.ED.MIID.SLD.SLI.OHI">'Data Entry'!$K$69</definedName>
    <definedName name="AOIPTStudCntEDP">'Data Entry'!$K$70</definedName>
    <definedName name="AOIPTStudCntELL">'Data Entry'!$K$59</definedName>
    <definedName name="AOIPTStudCntFRPL">'Data Entry'!$K$73</definedName>
    <definedName name="AOIPTStudCntG">'Data Entry'!$K$74</definedName>
    <definedName name="AOIPTStudCntHI">'Data Entry'!$K$62</definedName>
    <definedName name="AOIPTStudCntK3">'Data Entry'!$K$60</definedName>
    <definedName name="AOIPTStudCntK3Read">'Data Entry'!$K$61</definedName>
    <definedName name="AOIPTStudCntK8CY">'Data Entry'!$I$40</definedName>
    <definedName name="AOIPTStudCntMDR.AR.SIDR">'Data Entry'!$K$63</definedName>
    <definedName name="AOIPTStudCntMDSC.ASC.SIDSC">'Data Entry'!$K$64</definedName>
    <definedName name="AOIPTStudCntMDSSI">'Data Entry'!$K$65</definedName>
    <definedName name="AOIPTStudCntMOID">'Data Entry'!$K$71</definedName>
    <definedName name="AOIPTStudCntOIR">'Data Entry'!$K$66</definedName>
    <definedName name="AOIPTStudCntOISC">'Data Entry'!$K$67</definedName>
    <definedName name="AOIPTStudCntP.SD">'Data Entry'!$K$68</definedName>
    <definedName name="AOIPTStudCntVI">'Data Entry'!$K$72</definedName>
    <definedName name="ArizonaIndustryCredentialsIncentives">Instructions!$C$15</definedName>
    <definedName name="AverageSalaryCalculationComment">Cover!$L$36</definedName>
    <definedName name="AverageTeacherSalaries">Instructions!$C$7</definedName>
    <definedName name="BudgetSummary">Instructions!$C$31</definedName>
    <definedName name="BudgetVersion">Cover!$D$12</definedName>
    <definedName name="BudgetYearSalary">Cover!$R$32</definedName>
    <definedName name="CA0181IntangibleAssets">'Page 2'!$E$40</definedName>
    <definedName name="CA0191Land">'Page 2'!$E$41</definedName>
    <definedName name="CA0192SiteImprovements">'Page 2'!$E$42</definedName>
    <definedName name="CA0194Buildings">'Page 2'!$E$43</definedName>
    <definedName name="CA0196Equipment">'Page 2'!$E$44</definedName>
    <definedName name="CA0198CIP">'Page 2'!$E$45</definedName>
    <definedName name="CAAsupplement">'Data Entry'!#REF!</definedName>
    <definedName name="CAK3Reading">'Page 2'!$E$48</definedName>
    <definedName name="CapitalAcquisitions">Instructions!$C$17</definedName>
    <definedName name="CharterContactInfo">#REF!</definedName>
    <definedName name="CharterName">Cover!$D$1</definedName>
    <definedName name="Check_box_if_the_district_has_been_approved_to_provide_200_days_of_instruction_by_ADE.__A.R.S._Sec._15_902.04">'Data Entry'!$C$85</definedName>
    <definedName name="CIP1072P265F1000">'Page 4'!$N$30</definedName>
    <definedName name="CIP1072P265F1000PPL">'Page 4'!$G$30</definedName>
    <definedName name="CIP1072P265F2100">'Page 4'!$N$32</definedName>
    <definedName name="CIP1072P265F2100PPL">'Page 4'!$G$32</definedName>
    <definedName name="CIP1072P265F2200">'Page 4'!$N$33</definedName>
    <definedName name="CIP1072P265F2200PPL">'Page 4'!$G$33</definedName>
    <definedName name="CIP1072P265F2300">'Page 4'!$N$34</definedName>
    <definedName name="CIP1072P265F2300PPL">'Page 4'!$G$34</definedName>
    <definedName name="CIP1072P265F2400">'Page 4'!$N$35</definedName>
    <definedName name="CIP1072P265F2400PPL">'Page 4'!$G$35</definedName>
    <definedName name="CIP1072P265F2500">'Page 4'!$N$36</definedName>
    <definedName name="CIP1072P265F2500PPL">'Page 4'!$G$36</definedName>
    <definedName name="CIP1072P265F2600">'Page 4'!$N$37</definedName>
    <definedName name="CIP1072P265F2600PPL">'Page 4'!$G$37</definedName>
    <definedName name="CIP1072P265F2900">'Page 4'!$N$38</definedName>
    <definedName name="CIP1072P265F2900PPL">'Page 4'!$G$38</definedName>
    <definedName name="CIP1072P435F2700">'Page 4'!$N$42</definedName>
    <definedName name="CIP1072P435F2700PPL">'Page 4'!$G$42</definedName>
    <definedName name="CollegeCreditExamIncentives">Instructions!$C$14</definedName>
    <definedName name="CoverGen">Instructions!$C$2</definedName>
    <definedName name="CoverGen1">Instructions!$C$2</definedName>
    <definedName name="CSPTotal">'Page 3'!$K$13</definedName>
    <definedName name="CTD">Cover!$P$1</definedName>
    <definedName name="CTDSNumber">Instructions!$C$3</definedName>
    <definedName name="DecreaseforFedandStateMonies">'Data Entry'!$C$86</definedName>
    <definedName name="EmployeeBenefits">Instructions!$C$2</definedName>
    <definedName name="EstimatedRevenues">Instructions!$C$6</definedName>
    <definedName name="FederalandStateProjectsTotal">'Page 2'!$E$37</definedName>
    <definedName name="FP11001130TitleI">'Page 2'!$E$5</definedName>
    <definedName name="FP11401150TitleII">'Page 2'!$E$6</definedName>
    <definedName name="FP1160TitleIV">'Page 2'!$E$7</definedName>
    <definedName name="FP11701180TitleV">'Page 2'!$E$8</definedName>
    <definedName name="FP1190TitleIII">'Page 2'!$E$9</definedName>
    <definedName name="FP1200TitleVII">'Page 2'!$E$10</definedName>
    <definedName name="FP1210TitleVI">'Page 2'!$E$11</definedName>
    <definedName name="FP1220IDEA">'Page 2'!$E$12</definedName>
    <definedName name="FP1230Johnson">'Page 2'!$E$13</definedName>
    <definedName name="FP1240WIA">'Page 2'!$E$14</definedName>
    <definedName name="FP1250AEA">'Page 2'!$E$15</definedName>
    <definedName name="FP12601270VocEd">'Page 2'!$E$16</definedName>
    <definedName name="FP1280TitleX">'Page 2'!$E$17</definedName>
    <definedName name="FP1290Medicaid">'Page 2'!$E$18</definedName>
    <definedName name="FP13__ImpactAid">'Page 2'!$E$20</definedName>
    <definedName name="FP1300Charter">'Page 2'!$E$19</definedName>
    <definedName name="FP13101399Other">'Page 2'!$E$21</definedName>
    <definedName name="FP1420ExtendedSchool">'Page 2'!$E$26</definedName>
    <definedName name="FRPLsupplement">'Data Entry'!#REF!</definedName>
    <definedName name="FTEcertified">#REF!</definedName>
    <definedName name="FTEcontract">#REF!</definedName>
    <definedName name="FTEnoncertified">#REF!</definedName>
    <definedName name="FY18Average">Cover!$R$41</definedName>
    <definedName name="G912SuppLvlWgt0.001to99.999">Calculations!$N$9</definedName>
    <definedName name="G912SuppLvlWgt100.000to499.999">Calculations!$N$17</definedName>
    <definedName name="G912SuppLvlWgt500.000to599.999">Calculations!$N$25</definedName>
    <definedName name="G912SuppLvlWgt600.000Plus">Calculations!$N$27</definedName>
    <definedName name="IEPtransportation">'Page 2'!$N$14</definedName>
    <definedName name="IIPClassSizeReduction">'Page 2'!$N$22</definedName>
    <definedName name="IIPDropoutPreventionPrograms">'Page 2'!$N$23</definedName>
    <definedName name="IIPInstructionalImprovementPrograms">'Page 2'!$N$24</definedName>
    <definedName name="IIPTeacherCompensationIncreases">'Page 2'!$N$21</definedName>
    <definedName name="Incr200Days">'Data Entry'!$D$85</definedName>
    <definedName name="IncreaseSinceFY18">Cover!$R$42</definedName>
    <definedName name="K8SuppLvlWgt0.001to99.999">Calculations!$L$9</definedName>
    <definedName name="K8SuppLvlWgt100.000to499.999">Calculations!$L$17</definedName>
    <definedName name="K8SuppLvlWgt500.000to599.999">Calculations!$L$25</definedName>
    <definedName name="K8SuppLvlWgt600.000Plus">Calculations!$L$27</definedName>
    <definedName name="NonAOIStudCnt912CY">'Data Entry'!$L$38</definedName>
    <definedName name="NonAOIStudCntDD.ED.MIID.SLD.SLI.OHI">'Data Entry'!$I$69</definedName>
    <definedName name="NonAOIStudCntEDP">'Data Entry'!$I$70</definedName>
    <definedName name="NonAOIStudCntELL">'Data Entry'!$I$59</definedName>
    <definedName name="NonAOIStudCntFRPL">'Data Entry'!$I$73</definedName>
    <definedName name="NonAOIStudCntG">'Data Entry'!$I$74</definedName>
    <definedName name="NonAOIStudCntHI">'Data Entry'!$I$62</definedName>
    <definedName name="NonAOIStudCntK3">'Data Entry'!$I$60</definedName>
    <definedName name="NonAOIStudCntK3Read">'Data Entry'!$I$61</definedName>
    <definedName name="NonAOIStudCntK8CY">'Data Entry'!$I$38</definedName>
    <definedName name="NonAOIStudCntMDR.AR.SIDR">'Data Entry'!$I$63</definedName>
    <definedName name="NonAOIStudCntMDSC.ASC.SIDSC">'Data Entry'!$I$64</definedName>
    <definedName name="NonAOIStudCntMDSSI">'Data Entry'!$I$65</definedName>
    <definedName name="NonAOIStudCntMOID">'Data Entry'!$I$71</definedName>
    <definedName name="NonAOIStudCntOIR">'Data Entry'!$I$66</definedName>
    <definedName name="NonAOIStudCntOISC">'Data Entry'!$I$67</definedName>
    <definedName name="NonAOIStudCntP.SD">'Data Entry'!$I$68</definedName>
    <definedName name="NonAOIStudCntPSDCY">'Data Entry'!$F$38</definedName>
    <definedName name="NonAOIStudCntVI">'Data Entry'!$I$72</definedName>
    <definedName name="NonFedAuditExp">'Data Entry'!$N$92</definedName>
    <definedName name="OtherStateProjects">Instructions!$C$16</definedName>
    <definedName name="P200CareerEducation">'Page 2'!$N$11</definedName>
    <definedName name="P200CareerEducationCY">'Page 2'!$M$11</definedName>
    <definedName name="P200ELLCompensatoryInstruction">'Page 2'!$N$8</definedName>
    <definedName name="P200ELLCompensatoryInstructionCY">'Page 2'!$M$8</definedName>
    <definedName name="P200ELLIncrementalCosts">'Page 2'!$N$7</definedName>
    <definedName name="P200ELLIncrementalCostsCY">'Page 2'!$M$7</definedName>
    <definedName name="P200GiftedEducation">'Page 2'!$N$6</definedName>
    <definedName name="P200GiftedEducationCY">'Page 2'!$M$6</definedName>
    <definedName name="P200RemedialEducation">'Page 2'!$N$9</definedName>
    <definedName name="P200RemedialEducationCY">'Page 2'!$M$9</definedName>
    <definedName name="P200VocationalandTechnologicalEd">'Page 2'!$N$10</definedName>
    <definedName name="P200VocationalandTechnologicalEdCY">'Page 2'!$M$10</definedName>
    <definedName name="Page3ClassroomSiteProjectsFunc2300">Instructions!$C$27</definedName>
    <definedName name="Page3ClassroomSiteProjectsSubTable">Instructions!$C$28</definedName>
    <definedName name="PercentStatewideWeightedStudentCount">#REF!</definedName>
    <definedName name="Pg1EmployeeBenefits">Instructions!$C$12</definedName>
    <definedName name="Pg1General">Instructions!$C$8</definedName>
    <definedName name="Pg1Line37">Instructions!$C$11</definedName>
    <definedName name="Pg1Program550">Instructions!$C$9</definedName>
    <definedName name="Pg2DebtService">Instructions!$C$25</definedName>
    <definedName name="Pg2ExpensesByType">Instructions!$C$21</definedName>
    <definedName name="pg2FTE">#REF!</definedName>
    <definedName name="Pg2InstructionalImprovementProj">Instructions!$C$23</definedName>
    <definedName name="Pg2Line1">Instructions!$C$19</definedName>
    <definedName name="Pg2Line9">Instructions!$C$20</definedName>
    <definedName name="Pg2Lines3and4">Instructions!$C$24</definedName>
    <definedName name="Pg2SpecialEd">Instructions!$C$18</definedName>
    <definedName name="Pg2StateEqualAssist">Instructions!$C$22</definedName>
    <definedName name="Pg3ClassroomSiteProj">Instructions!$C$26</definedName>
    <definedName name="Pg4CompensatoryInstructionProj">Instructions!$C$30</definedName>
    <definedName name="Pg4EnglishLanguageLearnerProj">Instructions!$C$29</definedName>
    <definedName name="_xlnm.Print_Area" localSheetId="5">'Budget Summary'!$A$1:$M$47</definedName>
    <definedName name="_xlnm.Print_Area" localSheetId="8">Calculations!$A$1:$Q$79</definedName>
    <definedName name="_xlnm.Print_Area" localSheetId="0">Cover!$A$1:$S$42</definedName>
    <definedName name="_xlnm.Print_Area" localSheetId="7">'Data Entry'!$A$1:$P$100</definedName>
    <definedName name="_xlnm.Print_Area" localSheetId="10">Instructions!$A$1:$C$42</definedName>
    <definedName name="_xlnm.Print_Area" localSheetId="1">'Page 1'!$A$1:$N$50</definedName>
    <definedName name="_xlnm.Print_Area" localSheetId="2">'Page 2'!$A$1:$O$49</definedName>
    <definedName name="_xlnm.Print_Area" localSheetId="4">'Page 4'!$A$1:$P$43</definedName>
    <definedName name="_xlnm.Print_Area">'Page 4'!$A$1:$P$43</definedName>
    <definedName name="_xlnm.Print_Titles" localSheetId="10">Instructions!$1:$1</definedName>
    <definedName name="PriorYearSalary">Cover!$R$33</definedName>
    <definedName name="ProjectBalancesLine1">Instructions!$C$32</definedName>
    <definedName name="ProjectBalancesLine2a">Instructions!$C$33</definedName>
    <definedName name="ProjectBalancesLine2b">Instructions!$C$34</definedName>
    <definedName name="ProjectBalancesLine2c">Instructions!$C$35</definedName>
    <definedName name="ProjectBalancesLine3a">Instructions!$C$36</definedName>
    <definedName name="ProjectBalancesLine3b">Instructions!$C$37</definedName>
    <definedName name="ProjectBalancesLine4a">Instructions!$C$38</definedName>
    <definedName name="ProjectBalancesLine4b">Instructions!$C$39</definedName>
    <definedName name="ProjectBalancesLine4c">Instructions!$C$40</definedName>
    <definedName name="ProjectBalancesLine4d">Instructions!$C$41</definedName>
    <definedName name="ProjectBalancesLine5">Instructions!$C$42</definedName>
    <definedName name="RemoteTimeAdjustment">'Data Entry'!$N$98</definedName>
    <definedName name="SalaryIncreaseFromPriorYear">Cover!$R$34</definedName>
    <definedName name="SalaryPercentageIncrease">Cover!$R$35</definedName>
    <definedName name="SEIP1071P260F1000">'Page 4'!$N$9</definedName>
    <definedName name="SEIP1071P260F1000PPL">'Page 4'!$G$9</definedName>
    <definedName name="SEIP1071P260F2100">'Page 4'!$N$11</definedName>
    <definedName name="SEIP1071P260F2100PPL">'Page 4'!$G$11</definedName>
    <definedName name="SEIP1071P260F2200">'Page 4'!$N$12</definedName>
    <definedName name="SEIP1071P260F2200PPL">'Page 4'!$G$12</definedName>
    <definedName name="SEIP1071P260F2300">'Page 4'!$N$13</definedName>
    <definedName name="SEIP1071P260F2300PPL">'Page 4'!$G$13</definedName>
    <definedName name="SEIP1071P260F2400">'Page 4'!$N$14</definedName>
    <definedName name="SEIP1071P260F2400PPL">'Page 4'!$G$14</definedName>
    <definedName name="SEIP1071P260F2500">'Page 4'!$N$15</definedName>
    <definedName name="SEIP1071P260F2500PPL">'Page 4'!$G$15</definedName>
    <definedName name="SEIP1071P260F2600">'Page 4'!$N$16</definedName>
    <definedName name="SEIP1071P260F2600PPL">'Page 4'!$G$16</definedName>
    <definedName name="SEIP1071P260F2900">'Page 4'!$N$17</definedName>
    <definedName name="SEIP1071P260F2900PPL">'Page 4'!$G$17</definedName>
    <definedName name="SEIP1071P430F2700">'Page 4'!$N$21</definedName>
    <definedName name="SEIP1071P430F2700PPL">'Page 4'!$G$21</definedName>
    <definedName name="SP1000ClassSiteProj">'Page 1'!$L$44</definedName>
    <definedName name="SP1000ClassSiteProjCY">'Page 1'!$K$44</definedName>
    <definedName name="SP1000CompInstrProj">'Page 1'!$L$47</definedName>
    <definedName name="SP1000CompInstrProjCY">'Page 1'!$K$47</definedName>
    <definedName name="SP1000FedStProj">'Page 1'!$L$48</definedName>
    <definedName name="SP1000FedStProjCY">'Page 1'!$K$48</definedName>
    <definedName name="SP1000InstrImpProj">'Page 1'!$L$45</definedName>
    <definedName name="SP1000InstrImpProjCY">'Page 1'!$K$45</definedName>
    <definedName name="SP1000P100F1000">'Page 1'!$L$8</definedName>
    <definedName name="SP1000P100F1000CY">'Page 1'!$K$8</definedName>
    <definedName name="SP1000P100F2100">'Page 1'!$L$10</definedName>
    <definedName name="SP1000P100F2100CY">'Page 1'!$K$10</definedName>
    <definedName name="SP1000P100F2200">'Page 1'!$L$11</definedName>
    <definedName name="SP1000P100F2200CY">'Page 1'!$K$11</definedName>
    <definedName name="SP1000P100F2300">'Page 1'!$L$12</definedName>
    <definedName name="SP1000P100F2300CY">'Page 1'!$K$12</definedName>
    <definedName name="SP1000P100F2400">'Page 1'!$L$13</definedName>
    <definedName name="SP1000P100F2400CY">'Page 1'!$K$13</definedName>
    <definedName name="SP1000P100F2500">'Page 1'!$L$14</definedName>
    <definedName name="SP1000P100F2500CY">'Page 1'!$K$14</definedName>
    <definedName name="SP1000P100F2600">'Page 1'!$L$15</definedName>
    <definedName name="SP1000P100F2600CY">'Page 1'!$K$15</definedName>
    <definedName name="SP1000P100F2900">'Page 1'!$L$16</definedName>
    <definedName name="SP1000P100F2900CY">'Page 1'!$K$16</definedName>
    <definedName name="SP1000P100F3000">'Page 1'!$L$17</definedName>
    <definedName name="SP1000P100F3000CY">'Page 1'!$K$17</definedName>
    <definedName name="SP1000P100F4000">'Page 1'!$L$18</definedName>
    <definedName name="SP1000P100F4000CY">'Page 1'!$K$18</definedName>
    <definedName name="SP1000P100F5000">'Page 1'!$L$19</definedName>
    <definedName name="SP1000P100F5000CY">'Page 1'!$K$19</definedName>
    <definedName name="SP1000P200F1000">'Page 1'!$L$25</definedName>
    <definedName name="SP1000P200F1000CY">'Page 1'!$K$25</definedName>
    <definedName name="SP1000P200F2100">'Page 1'!$L$27</definedName>
    <definedName name="SP1000P200F2100CY">'Page 1'!$K$27</definedName>
    <definedName name="SP1000P200F2200">'Page 1'!$L$28</definedName>
    <definedName name="SP1000P200F2200CY">'Page 1'!$K$28</definedName>
    <definedName name="SP1000P200F2300">'Page 1'!$L$29</definedName>
    <definedName name="SP1000P200F2300CY">'Page 1'!$K$29</definedName>
    <definedName name="SP1000P200F2400">'Page 1'!$L$30</definedName>
    <definedName name="SP1000P200F2400CY">'Page 1'!$K$30</definedName>
    <definedName name="SP1000P200F2500">'Page 1'!$L$31</definedName>
    <definedName name="SP1000P200F2500CY">'Page 1'!$K$31</definedName>
    <definedName name="SP1000P200F2600">'Page 1'!$L$32</definedName>
    <definedName name="SP1000P200F2600CY">'Page 1'!$K$32</definedName>
    <definedName name="SP1000P200F2900">'Page 1'!$L$33</definedName>
    <definedName name="SP1000P200F2900CY">'Page 1'!$K$33</definedName>
    <definedName name="SP1000P200F3000">'Page 1'!$L$34</definedName>
    <definedName name="SP1000P200F3000CY">'Page 1'!$K$34</definedName>
    <definedName name="SP1000P200F4000">'Page 1'!$L$35</definedName>
    <definedName name="SP1000P200F4000CY">'Page 1'!$K$35</definedName>
    <definedName name="SP1000P200F5000">'Page 1'!$L$36</definedName>
    <definedName name="SP1000P200F5000CY">'Page 1'!$K$36</definedName>
    <definedName name="SP1000P400">'Page 1'!$L$39</definedName>
    <definedName name="SP1000P400CY">'Page 1'!$K$39</definedName>
    <definedName name="SP1000P530">'Page 1'!$L$40</definedName>
    <definedName name="SP1000P530CY">'Page 1'!$K$40</definedName>
    <definedName name="SP1000P540">'Page 1'!$L$41</definedName>
    <definedName name="SP1000P540CY">'Page 1'!$K$41</definedName>
    <definedName name="SP1000P550">'Page 1'!$L$42</definedName>
    <definedName name="SP1000P550CY">'Page 1'!$K$42</definedName>
    <definedName name="SP1000P610">'Page 1'!$L$20</definedName>
    <definedName name="SP1000P610CY">'Page 1'!$K$20</definedName>
    <definedName name="SP1000P620">'Page 1'!$L$21</definedName>
    <definedName name="SP1000P620CY">'Page 1'!$K$21</definedName>
    <definedName name="SP1000P630700800900">'Page 1'!$L$22</definedName>
    <definedName name="SP1000P630700800900CY">'Page 1'!$K$22</definedName>
    <definedName name="SP1000StruEngImmProj">'Page 1'!$L$46</definedName>
    <definedName name="SP1000StruEngImmProjCY">'Page 1'!$K$46</definedName>
    <definedName name="SP1000Total">'Page 1'!$L$43</definedName>
    <definedName name="SP1000TotalCY">'Page 1'!$K$43</definedName>
    <definedName name="SP1400VocEd">'Page 2'!$E$24</definedName>
    <definedName name="SP1410EarlyChildhoodBlockGrant">'Page 2'!$E$25</definedName>
    <definedName name="SP1425AdultBasicEd">'Page 2'!$E$27</definedName>
    <definedName name="SP1430ChemicalAbuse">'Page 2'!$E$28</definedName>
    <definedName name="SP1435AcademicContests">'Page 2'!$E$29</definedName>
    <definedName name="SP1450GiftedEd">'Page 2'!$E$30</definedName>
    <definedName name="SP1460EnvironmentalSpecialPlate">'Page 2'!$E$32</definedName>
    <definedName name="SP1465CharterSchool">'Page 2'!$E$33</definedName>
    <definedName name="SP14701499Other">'Page 2'!$E$35</definedName>
    <definedName name="StateAidsupplement">'Data Entry'!#REF!</definedName>
    <definedName name="StudCnt912CY">'Data Entry'!$L$41</definedName>
    <definedName name="StudCntK8CY">'Data Entry'!$I$41</definedName>
    <definedName name="Total_Student_Count">'Data Entry'!$B$41</definedName>
    <definedName name="TotalCapitalAcquisitions">'Page 2'!$E$46</definedName>
    <definedName name="TotalCapitalAcquisitionsCY">'Page 2'!$D$46</definedName>
    <definedName name="TotalCIP">'Page 4'!$N$43</definedName>
    <definedName name="TotalCIP6100">'Page 4'!$H$43</definedName>
    <definedName name="TotalCIP6200">'Page 4'!$I$43</definedName>
    <definedName name="TotalCIP630064006500">'Page 4'!$J$43</definedName>
    <definedName name="TotalCIP6600">'Page 4'!$K$43</definedName>
    <definedName name="TotalCIP6800">'Page 4'!$L$43</definedName>
    <definedName name="TotalCSP6100">'Page 3'!$F$13</definedName>
    <definedName name="TotalCSP6200">'Page 3'!$G$13</definedName>
    <definedName name="TotalCSP630064006500">'Page 3'!$H$13</definedName>
    <definedName name="TotalCSP6600">'Page 3'!$I$13</definedName>
    <definedName name="TotalFederalAndStateProjects">Instructions!$C$13</definedName>
    <definedName name="TotalFederalProjects">'Page 2'!$E$22</definedName>
    <definedName name="TotalFederalProjectsCY">'Page 2'!$D$22</definedName>
    <definedName name="TotalInstructionalImprovement">'Page 2'!$N$25</definedName>
    <definedName name="TotalSEIP">'Page 4'!$N$22</definedName>
    <definedName name="TotalSEIP6100">'Page 4'!$H$22</definedName>
    <definedName name="TotalSEIP6200">'Page 4'!$I$22</definedName>
    <definedName name="TotalSEIP630064006500">'Page 4'!$J$22</definedName>
    <definedName name="TotalSEIP6600">'Page 4'!$K$22</definedName>
    <definedName name="TotalSEIP6800">'Page 4'!$L$22</definedName>
    <definedName name="TotalStateProjects">'Page 2'!$E$36</definedName>
    <definedName name="TotalStateProjectsCY">'Page 2'!$D$36</definedName>
    <definedName name="Version">Instructions!$C$4</definedName>
    <definedName name="websitelink">Instructions!$C$5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3" l="1"/>
  <c r="D31" i="3"/>
  <c r="M5" i="3"/>
  <c r="F37" i="11" a="1"/>
  <c r="F37" i="11" s="1"/>
  <c r="M36" i="11" a="1"/>
  <c r="M36" i="11" s="1"/>
  <c r="F36" i="11" a="1"/>
  <c r="F36" i="11" s="1"/>
  <c r="M35" i="11" a="1"/>
  <c r="M35" i="11" s="1"/>
  <c r="F35" i="11" a="1"/>
  <c r="F35" i="11" s="1"/>
  <c r="M15" i="11" a="1"/>
  <c r="M15" i="11" s="1"/>
  <c r="M34" i="11" a="1"/>
  <c r="M34" i="11" s="1"/>
  <c r="M33" i="11" a="1"/>
  <c r="M33" i="11" s="1"/>
  <c r="F33" i="11" a="1"/>
  <c r="F33" i="11" s="1"/>
  <c r="F30" i="11" a="1"/>
  <c r="F30" i="11" s="1"/>
  <c r="M16" i="11" a="1"/>
  <c r="M16" i="11" s="1"/>
  <c r="M22" i="11" a="1"/>
  <c r="M22" i="11" s="1"/>
  <c r="F11" i="11" a="1"/>
  <c r="F11" i="11" s="1"/>
  <c r="F15" i="11" a="1"/>
  <c r="F15" i="11" s="1"/>
  <c r="M17" i="11" a="1"/>
  <c r="M17" i="11" s="1"/>
  <c r="F16" i="11" a="1"/>
  <c r="F16" i="11" s="1"/>
  <c r="M14" i="11" a="1"/>
  <c r="M14" i="11" s="1"/>
  <c r="M13" i="11" a="1"/>
  <c r="M13" i="11" s="1"/>
  <c r="F12" i="11" a="1"/>
  <c r="F12" i="11" s="1"/>
  <c r="F13" i="11" a="1"/>
  <c r="F13" i="11" s="1"/>
  <c r="M12" i="11" a="1"/>
  <c r="M12" i="11" s="1"/>
  <c r="M21" i="11" a="1"/>
  <c r="M21" i="11" s="1"/>
  <c r="M9" i="11" a="1"/>
  <c r="M9" i="11" s="1"/>
  <c r="M30" i="11" a="1"/>
  <c r="M30" i="11" s="1"/>
  <c r="F42" i="11" a="1"/>
  <c r="F42" i="11" s="1"/>
  <c r="F38" i="11" a="1"/>
  <c r="F38" i="11" s="1"/>
  <c r="F21" i="11" a="1"/>
  <c r="F21" i="11" s="1"/>
  <c r="F32" i="11" a="1"/>
  <c r="F32" i="11" s="1"/>
  <c r="M32" i="11" a="1"/>
  <c r="M32" i="11" s="1"/>
  <c r="F17" i="11" a="1"/>
  <c r="F17" i="11" s="1"/>
  <c r="M11" i="11" a="1"/>
  <c r="M11" i="11" s="1"/>
  <c r="F34" i="11" a="1"/>
  <c r="F34" i="11" s="1"/>
  <c r="M42" i="11" a="1"/>
  <c r="M42" i="11" s="1"/>
  <c r="M38" i="11" a="1"/>
  <c r="M38" i="11" s="1"/>
  <c r="M37" i="11" a="1"/>
  <c r="M37" i="11" s="1"/>
  <c r="F14" i="11" a="1"/>
  <c r="F14" i="11" s="1"/>
  <c r="F9" i="11" a="1"/>
  <c r="F9" i="11" s="1"/>
  <c r="J10" i="9" a="1"/>
  <c r="J10" i="9" s="1"/>
  <c r="J9" i="9" a="1"/>
  <c r="J9" i="9" s="1"/>
  <c r="J11" i="9" a="1"/>
  <c r="J11" i="9" s="1"/>
  <c r="J12" i="9" a="1"/>
  <c r="J12" i="9" s="1"/>
  <c r="J13" i="9" a="1"/>
  <c r="J13" i="9" s="1"/>
  <c r="J8" i="9" a="1"/>
  <c r="J8" i="9" s="1"/>
  <c r="D40" i="3" a="1"/>
  <c r="D40" i="3" s="1"/>
  <c r="M14" i="3" a="1"/>
  <c r="M14" i="3" s="1"/>
  <c r="D48" i="3"/>
  <c r="D45" i="3"/>
  <c r="D44" i="3"/>
  <c r="D43" i="3"/>
  <c r="D42" i="3"/>
  <c r="D41" i="3"/>
  <c r="M24" i="3"/>
  <c r="M23" i="3"/>
  <c r="M22" i="3"/>
  <c r="M21" i="3"/>
  <c r="M11" i="3"/>
  <c r="M10" i="3"/>
  <c r="M9" i="3"/>
  <c r="M8" i="3"/>
  <c r="M7" i="3"/>
  <c r="M6" i="3"/>
  <c r="D35" i="3"/>
  <c r="D33" i="3"/>
  <c r="D32" i="3"/>
  <c r="D30" i="3"/>
  <c r="D29" i="3"/>
  <c r="D28" i="3"/>
  <c r="D27" i="3"/>
  <c r="D26" i="3"/>
  <c r="D25" i="3"/>
  <c r="D24" i="3"/>
  <c r="D21" i="3"/>
  <c r="D20" i="3"/>
  <c r="D19" i="3"/>
  <c r="D18" i="3"/>
  <c r="D17" i="3"/>
  <c r="D16" i="3"/>
  <c r="D15" i="3"/>
  <c r="D14" i="3"/>
  <c r="D13" i="3"/>
  <c r="D12" i="3"/>
  <c r="D11" i="3"/>
  <c r="D10" i="3"/>
  <c r="D9" i="3"/>
  <c r="D8" i="3"/>
  <c r="D7" i="3"/>
  <c r="D6" i="3"/>
  <c r="D5" i="3"/>
  <c r="K48" i="2"/>
  <c r="K47" i="2"/>
  <c r="K46" i="2"/>
  <c r="K45" i="2"/>
  <c r="K44" i="2"/>
  <c r="K42" i="2"/>
  <c r="K41" i="2"/>
  <c r="K40" i="2"/>
  <c r="K39" i="2"/>
  <c r="K36" i="2"/>
  <c r="K35" i="2"/>
  <c r="K34" i="2"/>
  <c r="K33" i="2"/>
  <c r="K32" i="2"/>
  <c r="K31" i="2"/>
  <c r="K30" i="2"/>
  <c r="K29" i="2"/>
  <c r="K28" i="2"/>
  <c r="K27" i="2"/>
  <c r="K25" i="2"/>
  <c r="K22" i="2"/>
  <c r="K21" i="2"/>
  <c r="K20" i="2"/>
  <c r="K19" i="2"/>
  <c r="K18" i="2"/>
  <c r="K17" i="2"/>
  <c r="K16" i="2"/>
  <c r="K15" i="2"/>
  <c r="K14" i="2"/>
  <c r="K13" i="2"/>
  <c r="K12" i="2"/>
  <c r="K11" i="2"/>
  <c r="K10" i="2"/>
  <c r="K8" i="2"/>
  <c r="R6" i="1"/>
  <c r="C26" i="22"/>
  <c r="C16" i="22"/>
  <c r="C19" i="22"/>
  <c r="J6" i="18" l="1" a="1"/>
  <c r="H50" i="21" l="1"/>
  <c r="F73" i="16" l="1"/>
  <c r="F74" i="16"/>
  <c r="F72" i="16"/>
  <c r="G72" i="16"/>
  <c r="H3" i="12"/>
  <c r="A1" i="12"/>
  <c r="H55" i="21" l="1"/>
  <c r="H54" i="21"/>
  <c r="E59" i="21" s="1"/>
  <c r="E51" i="21"/>
  <c r="H31" i="21"/>
  <c r="G31" i="21"/>
  <c r="F31" i="21"/>
  <c r="D31" i="21"/>
  <c r="C31" i="21"/>
  <c r="B31" i="21"/>
  <c r="H30" i="21"/>
  <c r="G30" i="21"/>
  <c r="F30" i="21"/>
  <c r="D30" i="21"/>
  <c r="C30" i="21"/>
  <c r="B30" i="21"/>
  <c r="H29" i="21"/>
  <c r="G29" i="21"/>
  <c r="F29" i="21"/>
  <c r="D29" i="21"/>
  <c r="C29" i="21"/>
  <c r="B29" i="21"/>
  <c r="H28" i="21"/>
  <c r="G28" i="21"/>
  <c r="F28" i="21"/>
  <c r="D28" i="21"/>
  <c r="C28" i="21"/>
  <c r="B28" i="21"/>
  <c r="H27" i="21"/>
  <c r="G27" i="21"/>
  <c r="F27" i="21"/>
  <c r="D27" i="21"/>
  <c r="C27" i="21"/>
  <c r="B27" i="21"/>
  <c r="H26" i="21"/>
  <c r="G26" i="21"/>
  <c r="F26" i="21"/>
  <c r="D26" i="21"/>
  <c r="C26" i="21"/>
  <c r="B26" i="21"/>
  <c r="H25" i="21"/>
  <c r="G25" i="21"/>
  <c r="F25" i="21"/>
  <c r="D25" i="21"/>
  <c r="C25" i="21"/>
  <c r="B25" i="21"/>
  <c r="H24" i="21"/>
  <c r="G24" i="21"/>
  <c r="F24" i="21"/>
  <c r="D24" i="21"/>
  <c r="C24" i="21"/>
  <c r="B24" i="21"/>
  <c r="H23" i="21"/>
  <c r="G23" i="21"/>
  <c r="F23" i="21"/>
  <c r="D23" i="21"/>
  <c r="C23" i="21"/>
  <c r="B23" i="21"/>
  <c r="H22" i="21"/>
  <c r="G22" i="21"/>
  <c r="F22" i="21"/>
  <c r="D22" i="21"/>
  <c r="C22" i="21"/>
  <c r="B22" i="21"/>
  <c r="H21" i="21"/>
  <c r="G21" i="21"/>
  <c r="F21" i="21"/>
  <c r="D21" i="21"/>
  <c r="C21" i="21"/>
  <c r="B21" i="21"/>
  <c r="H20" i="21"/>
  <c r="G20" i="21"/>
  <c r="F20" i="21"/>
  <c r="D20" i="21"/>
  <c r="C20" i="21"/>
  <c r="B20" i="21"/>
  <c r="H19" i="21"/>
  <c r="G19" i="21"/>
  <c r="F19" i="21"/>
  <c r="D19" i="21"/>
  <c r="C19" i="21"/>
  <c r="B19" i="21"/>
  <c r="H18" i="21"/>
  <c r="G18" i="21"/>
  <c r="F18" i="21"/>
  <c r="D18" i="21"/>
  <c r="C18" i="21"/>
  <c r="B18" i="21"/>
  <c r="H17" i="21"/>
  <c r="G17" i="21"/>
  <c r="F17" i="21"/>
  <c r="D17" i="21"/>
  <c r="G44" i="21" s="1"/>
  <c r="C17" i="21"/>
  <c r="E44" i="21" s="1"/>
  <c r="B17" i="21"/>
  <c r="H16" i="21"/>
  <c r="G16" i="21"/>
  <c r="F16" i="21"/>
  <c r="D16" i="21"/>
  <c r="C16" i="21"/>
  <c r="B16" i="21"/>
  <c r="D10" i="21"/>
  <c r="C10" i="21"/>
  <c r="B10" i="21"/>
  <c r="G67" i="21" s="1"/>
  <c r="G69" i="21" s="1"/>
  <c r="D9" i="21"/>
  <c r="D11" i="21" s="1"/>
  <c r="C9" i="21"/>
  <c r="C11" i="21" s="1"/>
  <c r="B9" i="21"/>
  <c r="B8" i="21"/>
  <c r="A3" i="21"/>
  <c r="A61" i="21" s="1"/>
  <c r="I1" i="21"/>
  <c r="E1" i="21"/>
  <c r="B1" i="21"/>
  <c r="F75" i="16"/>
  <c r="N74" i="16" s="1"/>
  <c r="G74" i="16"/>
  <c r="G73" i="16"/>
  <c r="G75" i="16" s="1"/>
  <c r="N75" i="16" s="1"/>
  <c r="L57" i="16"/>
  <c r="N37" i="16"/>
  <c r="N38" i="16" s="1"/>
  <c r="L37" i="16"/>
  <c r="L42" i="16" s="1"/>
  <c r="N12" i="16"/>
  <c r="L12" i="16"/>
  <c r="L17" i="16" s="1"/>
  <c r="L1" i="16"/>
  <c r="I1" i="16"/>
  <c r="E1" i="16"/>
  <c r="K75" i="18"/>
  <c r="J75" i="18"/>
  <c r="I75" i="18"/>
  <c r="L50" i="18"/>
  <c r="N45" i="16" s="1"/>
  <c r="I50" i="18"/>
  <c r="L45" i="16" s="1"/>
  <c r="G50" i="18"/>
  <c r="L41" i="18"/>
  <c r="N20" i="16" s="1"/>
  <c r="I41" i="18"/>
  <c r="L20" i="16" s="1"/>
  <c r="G41" i="18"/>
  <c r="J31" i="18"/>
  <c r="J30" i="18"/>
  <c r="J29" i="18"/>
  <c r="A27" i="18"/>
  <c r="N58" i="16" s="1"/>
  <c r="P1" i="18"/>
  <c r="L1" i="18"/>
  <c r="E1" i="18"/>
  <c r="H1" i="22"/>
  <c r="E1" i="22"/>
  <c r="B1" i="22"/>
  <c r="H41" i="12"/>
  <c r="E39" i="12"/>
  <c r="L38" i="12"/>
  <c r="E38" i="12"/>
  <c r="L37" i="12"/>
  <c r="M35" i="12" s="1"/>
  <c r="E37" i="12"/>
  <c r="D37" i="12"/>
  <c r="F37" i="12" s="1"/>
  <c r="D31" i="12"/>
  <c r="F31" i="12" s="1"/>
  <c r="E29" i="12"/>
  <c r="D29" i="12"/>
  <c r="F29" i="12" s="1"/>
  <c r="D27" i="12"/>
  <c r="F27" i="12" s="1"/>
  <c r="D23" i="12"/>
  <c r="E20" i="12"/>
  <c r="E19" i="12"/>
  <c r="L18" i="12"/>
  <c r="L17" i="12"/>
  <c r="L16" i="12"/>
  <c r="L15" i="12"/>
  <c r="K15" i="12"/>
  <c r="M15" i="12" s="1"/>
  <c r="L14" i="12"/>
  <c r="L13" i="12"/>
  <c r="D13" i="12"/>
  <c r="L12" i="12"/>
  <c r="L19" i="12" s="1"/>
  <c r="D11" i="12"/>
  <c r="D6" i="12"/>
  <c r="L1" i="12"/>
  <c r="L43" i="11"/>
  <c r="K43" i="11"/>
  <c r="J43" i="11"/>
  <c r="I43" i="11"/>
  <c r="H43" i="11"/>
  <c r="G43" i="11"/>
  <c r="N42" i="11"/>
  <c r="O42" i="11"/>
  <c r="L39" i="11"/>
  <c r="K39" i="11"/>
  <c r="J39" i="11"/>
  <c r="I39" i="11"/>
  <c r="H39" i="11"/>
  <c r="G39" i="11"/>
  <c r="O38" i="11"/>
  <c r="N38" i="11"/>
  <c r="N37" i="11"/>
  <c r="O37" i="11"/>
  <c r="N36" i="11"/>
  <c r="O36" i="11"/>
  <c r="N35" i="11"/>
  <c r="O35" i="11"/>
  <c r="N34" i="11"/>
  <c r="O34" i="11"/>
  <c r="N33" i="11"/>
  <c r="O33" i="11"/>
  <c r="N32" i="11"/>
  <c r="O32" i="11"/>
  <c r="N30" i="11"/>
  <c r="N39" i="11" s="1"/>
  <c r="N43" i="11" s="1"/>
  <c r="L47" i="2" s="1"/>
  <c r="K29" i="12" s="1"/>
  <c r="O22" i="11"/>
  <c r="L22" i="11"/>
  <c r="J46" i="2" s="1"/>
  <c r="K22" i="11"/>
  <c r="I46" i="2" s="1"/>
  <c r="J22" i="11"/>
  <c r="H46" i="2" s="1"/>
  <c r="I22" i="11"/>
  <c r="G46" i="2" s="1"/>
  <c r="H22" i="11"/>
  <c r="F46" i="2" s="1"/>
  <c r="G22" i="11"/>
  <c r="N21" i="11"/>
  <c r="O21" i="11"/>
  <c r="L18" i="11"/>
  <c r="K18" i="11"/>
  <c r="J18" i="11"/>
  <c r="I18" i="11"/>
  <c r="H18" i="11"/>
  <c r="G18" i="11"/>
  <c r="N17" i="11"/>
  <c r="O17" i="11"/>
  <c r="N16" i="11"/>
  <c r="O16" i="11"/>
  <c r="N15" i="11"/>
  <c r="O15" i="11"/>
  <c r="N14" i="11"/>
  <c r="O14" i="11"/>
  <c r="N13" i="11"/>
  <c r="O13" i="11"/>
  <c r="O12" i="11"/>
  <c r="N12" i="11"/>
  <c r="N11" i="11"/>
  <c r="O11" i="11"/>
  <c r="N9" i="11"/>
  <c r="N18" i="11" s="1"/>
  <c r="N22" i="11" s="1"/>
  <c r="L46" i="2" s="1"/>
  <c r="K28" i="12" s="1"/>
  <c r="F18" i="11"/>
  <c r="F22" i="11" s="1"/>
  <c r="N1" i="11"/>
  <c r="J1" i="11"/>
  <c r="D1" i="11"/>
  <c r="I13" i="9"/>
  <c r="H13" i="9"/>
  <c r="G13" i="9"/>
  <c r="F13" i="9"/>
  <c r="K13" i="9" s="1"/>
  <c r="L13" i="9" s="1"/>
  <c r="K12" i="9"/>
  <c r="L12" i="9"/>
  <c r="K11" i="9"/>
  <c r="L11" i="9"/>
  <c r="K10" i="9"/>
  <c r="L10" i="9"/>
  <c r="K9" i="9"/>
  <c r="L9" i="9"/>
  <c r="K8" i="9"/>
  <c r="L1" i="9"/>
  <c r="G1" i="9"/>
  <c r="D1" i="9"/>
  <c r="E46" i="3"/>
  <c r="K32" i="12" s="1"/>
  <c r="D46" i="3"/>
  <c r="J32" i="12" s="1"/>
  <c r="E36" i="3"/>
  <c r="K31" i="12" s="1"/>
  <c r="N25" i="3"/>
  <c r="D36" i="3"/>
  <c r="J31" i="12" s="1"/>
  <c r="L31" i="12" s="1"/>
  <c r="E22" i="3"/>
  <c r="K30" i="12" s="1"/>
  <c r="M25" i="3"/>
  <c r="N12" i="3"/>
  <c r="M12" i="3"/>
  <c r="D22" i="3"/>
  <c r="K18" i="12"/>
  <c r="M18" i="12" s="1"/>
  <c r="K17" i="12"/>
  <c r="M17" i="12" s="1"/>
  <c r="K16" i="12"/>
  <c r="M16" i="12" s="1"/>
  <c r="K14" i="12"/>
  <c r="M14" i="12" s="1"/>
  <c r="K13" i="12"/>
  <c r="M13" i="12" s="1"/>
  <c r="K12" i="12"/>
  <c r="N1" i="3"/>
  <c r="I1" i="3"/>
  <c r="C1" i="3"/>
  <c r="M47" i="2"/>
  <c r="J47" i="2"/>
  <c r="I47" i="2"/>
  <c r="H47" i="2"/>
  <c r="G47" i="2"/>
  <c r="F47" i="2"/>
  <c r="M46" i="2"/>
  <c r="L45" i="2"/>
  <c r="K27" i="12" s="1"/>
  <c r="J27" i="12"/>
  <c r="L27" i="12" s="1"/>
  <c r="J26" i="12"/>
  <c r="I44" i="2"/>
  <c r="H44" i="2"/>
  <c r="G44" i="2"/>
  <c r="M42" i="2"/>
  <c r="L42" i="2"/>
  <c r="E40" i="12" s="1"/>
  <c r="D40" i="12"/>
  <c r="F40" i="12" s="1"/>
  <c r="L41" i="2"/>
  <c r="M41" i="2"/>
  <c r="L40" i="2"/>
  <c r="M40" i="2"/>
  <c r="L39" i="2"/>
  <c r="M39" i="2"/>
  <c r="J37" i="2"/>
  <c r="I37" i="2"/>
  <c r="H37" i="2"/>
  <c r="G37" i="2"/>
  <c r="F37" i="2"/>
  <c r="L37" i="2" s="1"/>
  <c r="P12" i="3" s="1"/>
  <c r="M36" i="2"/>
  <c r="L36" i="2"/>
  <c r="E34" i="12" s="1"/>
  <c r="D34" i="12"/>
  <c r="F34" i="12" s="1"/>
  <c r="L35" i="2"/>
  <c r="E33" i="12" s="1"/>
  <c r="M35" i="2"/>
  <c r="L34" i="2"/>
  <c r="E32" i="12" s="1"/>
  <c r="D32" i="12"/>
  <c r="F32" i="12" s="1"/>
  <c r="L33" i="2"/>
  <c r="E31" i="12" s="1"/>
  <c r="M33" i="2"/>
  <c r="M32" i="2"/>
  <c r="L32" i="2"/>
  <c r="E30" i="12" s="1"/>
  <c r="D30" i="12"/>
  <c r="F30" i="12" s="1"/>
  <c r="L31" i="2"/>
  <c r="M31" i="2"/>
  <c r="L30" i="2"/>
  <c r="E28" i="12" s="1"/>
  <c r="M30" i="2"/>
  <c r="L29" i="2"/>
  <c r="E27" i="12" s="1"/>
  <c r="M29" i="2"/>
  <c r="M28" i="2"/>
  <c r="L28" i="2"/>
  <c r="E26" i="12" s="1"/>
  <c r="D26" i="12"/>
  <c r="F26" i="12" s="1"/>
  <c r="L27" i="2"/>
  <c r="E25" i="12" s="1"/>
  <c r="L25" i="2"/>
  <c r="E23" i="12" s="1"/>
  <c r="M25" i="2"/>
  <c r="J23" i="2"/>
  <c r="J43" i="2" s="1"/>
  <c r="J49" i="2" s="1"/>
  <c r="I23" i="2"/>
  <c r="H23" i="2"/>
  <c r="G23" i="2"/>
  <c r="G43" i="2" s="1"/>
  <c r="F23" i="2"/>
  <c r="F43" i="2" s="1"/>
  <c r="L22" i="2"/>
  <c r="D20" i="12"/>
  <c r="F20" i="12" s="1"/>
  <c r="M21" i="2"/>
  <c r="L21" i="2"/>
  <c r="D19" i="12"/>
  <c r="F19" i="12" s="1"/>
  <c r="L20" i="2"/>
  <c r="E18" i="12" s="1"/>
  <c r="M20" i="2"/>
  <c r="L19" i="2"/>
  <c r="E17" i="12" s="1"/>
  <c r="L18" i="2"/>
  <c r="E16" i="12" s="1"/>
  <c r="M18" i="2"/>
  <c r="L17" i="2"/>
  <c r="E15" i="12" s="1"/>
  <c r="D15" i="12"/>
  <c r="L16" i="2"/>
  <c r="E14" i="12" s="1"/>
  <c r="M16" i="2"/>
  <c r="L15" i="2"/>
  <c r="E13" i="12" s="1"/>
  <c r="M15" i="2"/>
  <c r="L14" i="2"/>
  <c r="E12" i="12" s="1"/>
  <c r="D12" i="12"/>
  <c r="L13" i="2"/>
  <c r="M13" i="2" s="1"/>
  <c r="L12" i="2"/>
  <c r="E10" i="12" s="1"/>
  <c r="D10" i="12"/>
  <c r="L11" i="2"/>
  <c r="E9" i="12" s="1"/>
  <c r="D9" i="12"/>
  <c r="L10" i="2"/>
  <c r="E8" i="12" s="1"/>
  <c r="D8" i="12"/>
  <c r="L8" i="2"/>
  <c r="E6" i="12" s="1"/>
  <c r="K23" i="2"/>
  <c r="M1" i="2"/>
  <c r="I1" i="2"/>
  <c r="D1" i="2"/>
  <c r="R34" i="1"/>
  <c r="R35" i="1" s="1"/>
  <c r="L40" i="12" s="1"/>
  <c r="S32" i="1"/>
  <c r="L30" i="1"/>
  <c r="I23" i="1"/>
  <c r="I22" i="1"/>
  <c r="I21" i="1"/>
  <c r="R13" i="1"/>
  <c r="L5" i="1"/>
  <c r="A36" i="21" l="1"/>
  <c r="L39" i="12"/>
  <c r="F9" i="12"/>
  <c r="I43" i="2"/>
  <c r="M17" i="2"/>
  <c r="F13" i="12"/>
  <c r="M10" i="2"/>
  <c r="E35" i="12"/>
  <c r="H43" i="2"/>
  <c r="H49" i="2" s="1"/>
  <c r="M27" i="2"/>
  <c r="M8" i="2"/>
  <c r="E11" i="12"/>
  <c r="F11" i="12" s="1"/>
  <c r="M14" i="2"/>
  <c r="F15" i="12"/>
  <c r="G49" i="2"/>
  <c r="F8" i="12"/>
  <c r="F10" i="12"/>
  <c r="F12" i="12"/>
  <c r="M19" i="2"/>
  <c r="I49" i="2"/>
  <c r="F44" i="2"/>
  <c r="F49" i="2" s="1"/>
  <c r="L32" i="12"/>
  <c r="L23" i="2"/>
  <c r="M23" i="2" s="1"/>
  <c r="E37" i="3"/>
  <c r="L48" i="2" s="1"/>
  <c r="M48" i="2" s="1"/>
  <c r="B32" i="21"/>
  <c r="L59" i="16"/>
  <c r="G34" i="21"/>
  <c r="C32" i="21"/>
  <c r="D32" i="21"/>
  <c r="H34" i="21"/>
  <c r="F34" i="21"/>
  <c r="C44" i="21"/>
  <c r="L48" i="16"/>
  <c r="L46" i="16"/>
  <c r="L50" i="16"/>
  <c r="N46" i="16"/>
  <c r="N50" i="16"/>
  <c r="N48" i="16"/>
  <c r="L23" i="16"/>
  <c r="L21" i="16"/>
  <c r="L25" i="16"/>
  <c r="N21" i="16"/>
  <c r="N23" i="16"/>
  <c r="N25" i="16"/>
  <c r="E8" i="21"/>
  <c r="H35" i="21"/>
  <c r="C67" i="21"/>
  <c r="N40" i="16"/>
  <c r="E67" i="21"/>
  <c r="E69" i="21" s="1"/>
  <c r="B11" i="21"/>
  <c r="D12" i="21" s="1"/>
  <c r="L13" i="16"/>
  <c r="L38" i="16"/>
  <c r="L58" i="16"/>
  <c r="L15" i="16"/>
  <c r="L40" i="16"/>
  <c r="N15" i="16"/>
  <c r="N17" i="16" s="1"/>
  <c r="N57" i="16" s="1"/>
  <c r="E9" i="21"/>
  <c r="F9" i="21" s="1"/>
  <c r="N42" i="16"/>
  <c r="N13" i="16"/>
  <c r="O30" i="11"/>
  <c r="M39" i="11"/>
  <c r="M18" i="11"/>
  <c r="O18" i="11" s="1"/>
  <c r="O9" i="11"/>
  <c r="F39" i="11"/>
  <c r="F43" i="11" s="1"/>
  <c r="L8" i="9"/>
  <c r="J30" i="12"/>
  <c r="L30" i="12" s="1"/>
  <c r="D37" i="3"/>
  <c r="M12" i="12"/>
  <c r="K19" i="12"/>
  <c r="M19" i="12" s="1"/>
  <c r="D18" i="12"/>
  <c r="F18" i="12" s="1"/>
  <c r="J29" i="12"/>
  <c r="L29" i="12" s="1"/>
  <c r="M11" i="2"/>
  <c r="K37" i="2"/>
  <c r="M37" i="2" s="1"/>
  <c r="M45" i="2"/>
  <c r="M22" i="2"/>
  <c r="D16" i="12"/>
  <c r="F16" i="12" s="1"/>
  <c r="F23" i="12"/>
  <c r="D25" i="12"/>
  <c r="F25" i="12" s="1"/>
  <c r="D33" i="12"/>
  <c r="F33" i="12" s="1"/>
  <c r="M12" i="2"/>
  <c r="D38" i="12"/>
  <c r="F38" i="12" s="1"/>
  <c r="M34" i="2"/>
  <c r="D28" i="12"/>
  <c r="F28" i="12" s="1"/>
  <c r="D14" i="12"/>
  <c r="F14" i="12" s="1"/>
  <c r="D17" i="12"/>
  <c r="F17" i="12" s="1"/>
  <c r="J28" i="12"/>
  <c r="L28" i="12" s="1"/>
  <c r="D39" i="12"/>
  <c r="F39" i="12" s="1"/>
  <c r="F6" i="12"/>
  <c r="L43" i="2" l="1"/>
  <c r="K25" i="12" s="1"/>
  <c r="E21" i="12"/>
  <c r="E41" i="12" s="1"/>
  <c r="L44" i="2"/>
  <c r="N59" i="16"/>
  <c r="E10" i="21"/>
  <c r="F10" i="21"/>
  <c r="D33" i="21"/>
  <c r="E47" i="21"/>
  <c r="E45" i="21"/>
  <c r="G13" i="21"/>
  <c r="G45" i="21"/>
  <c r="H13" i="21"/>
  <c r="G43" i="21"/>
  <c r="E43" i="21"/>
  <c r="H8" i="21"/>
  <c r="G8" i="21"/>
  <c r="G47" i="21"/>
  <c r="H49" i="21"/>
  <c r="C51" i="21" s="1"/>
  <c r="C45" i="21"/>
  <c r="C43" i="21"/>
  <c r="F13" i="21"/>
  <c r="H70" i="21"/>
  <c r="C69" i="21"/>
  <c r="H74" i="21" s="1"/>
  <c r="C78" i="21" s="1"/>
  <c r="C47" i="21"/>
  <c r="H14" i="21"/>
  <c r="H51" i="21"/>
  <c r="C59" i="21" s="1"/>
  <c r="H59" i="21" s="1"/>
  <c r="C77" i="21" s="1"/>
  <c r="F8" i="21"/>
  <c r="G9" i="21"/>
  <c r="H9" i="21"/>
  <c r="D35" i="12"/>
  <c r="F35" i="12" s="1"/>
  <c r="O39" i="11"/>
  <c r="M43" i="11"/>
  <c r="O43" i="11" s="1"/>
  <c r="D21" i="12"/>
  <c r="K43" i="2"/>
  <c r="K26" i="12" l="1"/>
  <c r="M44" i="2"/>
  <c r="L49" i="2"/>
  <c r="H10" i="21"/>
  <c r="G10" i="21"/>
  <c r="C79" i="21"/>
  <c r="H80" i="21" s="1"/>
  <c r="H83" i="21" s="1"/>
  <c r="M43" i="2"/>
  <c r="K49" i="2"/>
  <c r="J25" i="12"/>
  <c r="F21" i="12"/>
  <c r="D41" i="12"/>
  <c r="F41" i="12" s="1"/>
  <c r="M49" i="2" l="1"/>
  <c r="L26" i="12"/>
  <c r="K33" i="12"/>
  <c r="L25" i="12"/>
  <c r="J33" i="12"/>
  <c r="J6" i="18"/>
  <c r="L33" i="1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<sst xmlns="http://schemas.openxmlformats.org/spreadsheetml/2006/main" count="936" uniqueCount="553">
  <si>
    <t>Charter school</t>
  </si>
  <si>
    <t>County</t>
  </si>
  <si>
    <t>CTDS number</t>
  </si>
  <si>
    <t>Charter name</t>
  </si>
  <si>
    <t>d.b.a. (as applicable)</t>
  </si>
  <si>
    <t>1.</t>
  </si>
  <si>
    <t>$</t>
  </si>
  <si>
    <t>State of Arizona</t>
  </si>
  <si>
    <t>2.</t>
  </si>
  <si>
    <t>Local</t>
  </si>
  <si>
    <t>1000</t>
  </si>
  <si>
    <t xml:space="preserve">Charter School Annual Budget </t>
  </si>
  <si>
    <t>Intermediate</t>
  </si>
  <si>
    <t>2000</t>
  </si>
  <si>
    <t>State</t>
  </si>
  <si>
    <t>3000</t>
  </si>
  <si>
    <t>Federal</t>
  </si>
  <si>
    <t>4000</t>
  </si>
  <si>
    <t>Version</t>
  </si>
  <si>
    <t xml:space="preserve">    TOTAL</t>
  </si>
  <si>
    <t>Charter school contact employee:</t>
  </si>
  <si>
    <t>By the Governing Board</t>
  </si>
  <si>
    <t>Telephone:</t>
  </si>
  <si>
    <t>Email:</t>
  </si>
  <si>
    <r>
      <rPr>
        <sz val="10"/>
        <rFont val="Arial"/>
        <family val="2"/>
      </rPr>
      <t>School Finance Budget System on ADE's website by</t>
    </r>
  </si>
  <si>
    <t>Proposed</t>
  </si>
  <si>
    <t xml:space="preserve">    </t>
  </si>
  <si>
    <t>Type the date as MM/DD/YYYY</t>
  </si>
  <si>
    <t>Adopted</t>
  </si>
  <si>
    <t>Revised</t>
  </si>
  <si>
    <t>Date</t>
  </si>
  <si>
    <t>School official signature</t>
  </si>
  <si>
    <t>School official (typed name)</t>
  </si>
  <si>
    <t>Average teacher salary (A.R.S. §15-189.05)</t>
  </si>
  <si>
    <t xml:space="preserve">4. Percentage increase </t>
  </si>
  <si>
    <t>Comments on average salary calculation (optional):</t>
  </si>
  <si>
    <t>Signed</t>
  </si>
  <si>
    <t>Title</t>
  </si>
  <si>
    <t xml:space="preserve">  County</t>
  </si>
  <si>
    <t>Select from drop-down</t>
  </si>
  <si>
    <t>Student Information System (SIS) Vendor</t>
  </si>
  <si>
    <t>Accounting Information System</t>
  </si>
  <si>
    <t>Is the Charter exempt from the Uniform System of Financial Records for Charter Schools (USFRCS)?</t>
  </si>
  <si>
    <t>Management organization type</t>
  </si>
  <si>
    <t>Management organization details (if applicable):</t>
  </si>
  <si>
    <t>Organization name</t>
  </si>
  <si>
    <t>Employer Identification Number</t>
  </si>
  <si>
    <t>Address 1</t>
  </si>
  <si>
    <t>Address 2</t>
  </si>
  <si>
    <t>City</t>
  </si>
  <si>
    <t>Zip</t>
  </si>
  <si>
    <t>Purchased</t>
  </si>
  <si>
    <t>Totals</t>
  </si>
  <si>
    <t>Expenses</t>
  </si>
  <si>
    <t>Employee</t>
  </si>
  <si>
    <t>services</t>
  </si>
  <si>
    <t>Prior</t>
  </si>
  <si>
    <t>Budget</t>
  </si>
  <si>
    <t>%</t>
  </si>
  <si>
    <t>Salaries</t>
  </si>
  <si>
    <t>benefits</t>
  </si>
  <si>
    <t>6300, 6400,</t>
  </si>
  <si>
    <t>Supplies</t>
  </si>
  <si>
    <t>Other</t>
  </si>
  <si>
    <t>year</t>
  </si>
  <si>
    <t>Increase/</t>
  </si>
  <si>
    <t>1000 Schoolwide Project and 1500-1999 Other Special Projects</t>
  </si>
  <si>
    <t>decrease</t>
  </si>
  <si>
    <t>100 Regular education</t>
  </si>
  <si>
    <t>1000 Instruction</t>
  </si>
  <si>
    <t>Support services</t>
  </si>
  <si>
    <t xml:space="preserve">   2100 Students </t>
  </si>
  <si>
    <t xml:space="preserve">   2200 Instruction</t>
  </si>
  <si>
    <t xml:space="preserve">   2300 General administration </t>
  </si>
  <si>
    <t xml:space="preserve">   2400 School administration </t>
  </si>
  <si>
    <t xml:space="preserve">   2500 Central services</t>
  </si>
  <si>
    <t xml:space="preserve">   2600 Operation &amp; maintenance of plant</t>
  </si>
  <si>
    <t xml:space="preserve">   2900 Other support services</t>
  </si>
  <si>
    <t>3000 Operation of noninstructional services</t>
  </si>
  <si>
    <t>4000 Facilities acquisition &amp; construction</t>
  </si>
  <si>
    <t>5000 Debt service</t>
  </si>
  <si>
    <t>610 School-sponsored cocurricular activities</t>
  </si>
  <si>
    <t>620 School-sponsored athletics</t>
  </si>
  <si>
    <t>630, 700, 800, 900 Other programs</t>
  </si>
  <si>
    <t>Subtotal (lines 1-14)</t>
  </si>
  <si>
    <t>200 Special education</t>
  </si>
  <si>
    <t>Subtotal (lines 16-26)</t>
  </si>
  <si>
    <t>300 Special Education Disability Title 8 PL 103-382 Add-On</t>
  </si>
  <si>
    <t>400 Pupil transportation</t>
  </si>
  <si>
    <t>530 Dropout prevention programs</t>
  </si>
  <si>
    <t>540 Joint career &amp; technical ed. &amp; vocational ed. center</t>
  </si>
  <si>
    <t>550 K-3 Reading</t>
  </si>
  <si>
    <t>Subtotal (lines 15 and 27-31)</t>
  </si>
  <si>
    <t>1010 Classroom Site Project (from page 3, line 6)</t>
  </si>
  <si>
    <t>1020 Instructional Improvement Project (from page 2, line 5)</t>
  </si>
  <si>
    <t>1071 English Language Learner Project (from page 4, line 11)</t>
  </si>
  <si>
    <t>1072 Compensatory Instruction Project (from page 4, line 22)</t>
  </si>
  <si>
    <t>1100-1499 Federal and State projects (from page 2, line 32)</t>
  </si>
  <si>
    <t>Total (lines 32-37)</t>
  </si>
  <si>
    <t>Federal and State projects</t>
  </si>
  <si>
    <t>Special education programs by type</t>
  </si>
  <si>
    <t>1100-1399 Federal projects</t>
  </si>
  <si>
    <t>1100-1130  ESEA Title I-Helping Disadvantaged Children</t>
  </si>
  <si>
    <t>Total all disability classifications</t>
  </si>
  <si>
    <t>1140-1150  ESEA Title II-Prof. Dev. And Technology</t>
  </si>
  <si>
    <t>Gifted education</t>
  </si>
  <si>
    <t>1160  ESEA Title IV-21st Century Schools</t>
  </si>
  <si>
    <t>ELL incremental costs</t>
  </si>
  <si>
    <t>1170-1180  ESEA Title V-Promote Informed Parent Choice</t>
  </si>
  <si>
    <t>ELL compensatory instruction</t>
  </si>
  <si>
    <t>1190  ESEA Title III-Limited Eng. &amp; Immigrant Students</t>
  </si>
  <si>
    <t>Remedial education</t>
  </si>
  <si>
    <t>1200  ESEA Title VII-Indian Education</t>
  </si>
  <si>
    <t>Vocational and technical ed.</t>
  </si>
  <si>
    <t>1210  ESEA Title VI-Flexibility and Accountability</t>
  </si>
  <si>
    <t>Career education</t>
  </si>
  <si>
    <t>1220  IDEA, Part B</t>
  </si>
  <si>
    <t>Total (lines 1-7)</t>
  </si>
  <si>
    <t>1230  Johnson-O'Malley</t>
  </si>
  <si>
    <t>1240  Workforce Investment Act</t>
  </si>
  <si>
    <t>Expenses budgeted for transporting students with disabilities (as defined in A.R.S. §15-761) unique to the IEP</t>
  </si>
  <si>
    <t>1250  AEA-Adult Education</t>
  </si>
  <si>
    <t>1260-1270  Vocational Education-Basic Grants</t>
  </si>
  <si>
    <t>1280  ESEA Title X-Homeless Education</t>
  </si>
  <si>
    <t>Instructional Improvement Project</t>
  </si>
  <si>
    <t>1290  Medicaid Reimbursement</t>
  </si>
  <si>
    <t xml:space="preserve">Indicate amounts budgeted in Project 1020 for the following: </t>
  </si>
  <si>
    <t>1300  Charter School Implementation Proj. (Stimulus)</t>
  </si>
  <si>
    <t>13__  Impact Aid</t>
  </si>
  <si>
    <t>1310-1399  Other Federal Projects</t>
  </si>
  <si>
    <t>Teacher compensation increases</t>
  </si>
  <si>
    <r>
      <t>Total federal projects (</t>
    </r>
    <r>
      <rPr>
        <sz val="10"/>
        <rFont val="Arial"/>
        <family val="2"/>
      </rPr>
      <t>lines 1-17)</t>
    </r>
  </si>
  <si>
    <t>Class size reduction</t>
  </si>
  <si>
    <t>1400-1499 State projects</t>
  </si>
  <si>
    <t>3.</t>
  </si>
  <si>
    <t>Dropout prevention programs</t>
  </si>
  <si>
    <t>1400  Vocational Education</t>
  </si>
  <si>
    <t>4.</t>
  </si>
  <si>
    <t>Instructional improvement programs</t>
  </si>
  <si>
    <t>1410  Early Childhood Block Grant</t>
  </si>
  <si>
    <t>5.</t>
  </si>
  <si>
    <r>
      <t>Total I</t>
    </r>
    <r>
      <rPr>
        <sz val="10"/>
        <rFont val="Arial"/>
        <family val="2"/>
      </rPr>
      <t xml:space="preserve">nstructional </t>
    </r>
    <r>
      <rPr>
        <sz val="10"/>
        <rFont val="Arial"/>
        <family val="2"/>
      </rPr>
      <t>Imp</t>
    </r>
    <r>
      <rPr>
        <sz val="10"/>
        <rFont val="Arial"/>
        <family val="2"/>
      </rPr>
      <t>rovement (lines 1-4)</t>
    </r>
  </si>
  <si>
    <t>1420  Extended School Year-Pupils with Disabilities</t>
  </si>
  <si>
    <t>1425  Adult Basic Education</t>
  </si>
  <si>
    <t>Proposed ratios for</t>
  </si>
  <si>
    <t>Selected expenses by type</t>
  </si>
  <si>
    <t>1430  Chemical Abuse Prevention Programs</t>
  </si>
  <si>
    <t>special education</t>
  </si>
  <si>
    <t>(Must be included on page 1)</t>
  </si>
  <si>
    <t>1435  Academic Contests</t>
  </si>
  <si>
    <t>Teacher-pupil</t>
  </si>
  <si>
    <t xml:space="preserve">1 to </t>
  </si>
  <si>
    <t>Audit services</t>
  </si>
  <si>
    <t>1450  Gifted Education</t>
  </si>
  <si>
    <t>Staff-pupil</t>
  </si>
  <si>
    <t>Classroom instruction</t>
  </si>
  <si>
    <t>1456 College Credit Exam Incentives</t>
  </si>
  <si>
    <t>1460  Environmental Special Plate</t>
  </si>
  <si>
    <t>State equalization assistance budgeted</t>
  </si>
  <si>
    <t>1465  Charter School Stimulus Fund</t>
  </si>
  <si>
    <t>for food service expenses</t>
  </si>
  <si>
    <t>14__  Arizona Industry Credentials Incentive</t>
  </si>
  <si>
    <t xml:space="preserve">Enter the amount of State equalization assistance </t>
  </si>
  <si>
    <t>Other State Projects</t>
  </si>
  <si>
    <t>budgeted for food service, function 3100:</t>
  </si>
  <si>
    <r>
      <t>Total State projects (</t>
    </r>
    <r>
      <rPr>
        <sz val="10"/>
        <rFont val="Arial"/>
        <family val="2"/>
      </rPr>
      <t>lines 19-30)</t>
    </r>
  </si>
  <si>
    <r>
      <t>Total federal and State projects (</t>
    </r>
    <r>
      <rPr>
        <sz val="10"/>
        <rFont val="Arial"/>
        <family val="2"/>
      </rPr>
      <t>lines 18 and 31)</t>
    </r>
  </si>
  <si>
    <t>Debt service</t>
  </si>
  <si>
    <t>Interest 6850</t>
  </si>
  <si>
    <t>Capital acquisitions</t>
  </si>
  <si>
    <t>Redemption of principal</t>
  </si>
  <si>
    <t>0181  Intangible assets</t>
  </si>
  <si>
    <t>0191  Land and land improvements</t>
  </si>
  <si>
    <t>0192  Site improvements</t>
  </si>
  <si>
    <t>0194  Buildings and building improvements</t>
  </si>
  <si>
    <t>0196  Equipment</t>
  </si>
  <si>
    <t>0198  Construction in progress</t>
  </si>
  <si>
    <t>Total capital acquisitions (lines 1-6)</t>
  </si>
  <si>
    <t>Total capital acquisitions, if any, budgeted on lines 1-6 above for the K-3 Reading Program</t>
  </si>
  <si>
    <t xml:space="preserve">Employee </t>
  </si>
  <si>
    <t>Prior year</t>
  </si>
  <si>
    <t>Budget year</t>
  </si>
  <si>
    <t>6300, 6400, 6500</t>
  </si>
  <si>
    <t>Classroom Site Project 1010</t>
  </si>
  <si>
    <t>2100 Support services—students</t>
  </si>
  <si>
    <t>2200 Support services—instruction</t>
  </si>
  <si>
    <t>2300 Support services—general administration</t>
  </si>
  <si>
    <t>3300 Community services operations</t>
  </si>
  <si>
    <t>Total Classroom Site Project (lines 1-5)</t>
  </si>
  <si>
    <t>Classroom Site Project 1010 budgeted property payments</t>
  </si>
  <si>
    <t>Property disbursements</t>
  </si>
  <si>
    <t>Charter School</t>
  </si>
  <si>
    <t xml:space="preserve">Number of </t>
  </si>
  <si>
    <t>personnel</t>
  </si>
  <si>
    <t xml:space="preserve">Employee  </t>
  </si>
  <si>
    <t>English Language Learner Project - 1071</t>
  </si>
  <si>
    <t>260 Special education—ELL incremental costs</t>
  </si>
  <si>
    <t xml:space="preserve">  2100 Students</t>
  </si>
  <si>
    <t xml:space="preserve">  2200 Instruction</t>
  </si>
  <si>
    <t xml:space="preserve">  2300 General administration</t>
  </si>
  <si>
    <t xml:space="preserve">  2400 School administration</t>
  </si>
  <si>
    <t xml:space="preserve">  2500 Central services</t>
  </si>
  <si>
    <t xml:space="preserve">  2600 Operation &amp; maintenance of plant</t>
  </si>
  <si>
    <t xml:space="preserve">  2900 Other support services</t>
  </si>
  <si>
    <t>Program 260 subtotal (lines 1-8)</t>
  </si>
  <si>
    <t>430 Pupil Transportation—ELL incremental costs</t>
  </si>
  <si>
    <t xml:space="preserve">  2700 Student transportation</t>
  </si>
  <si>
    <t>Total expenses (lines 9 and 10)</t>
  </si>
  <si>
    <t>Compensatory Instruction Project - 1072</t>
  </si>
  <si>
    <t>265 Special education—ELL compensatory instruction</t>
  </si>
  <si>
    <t>Program 265 subtotal (lines 12-19)</t>
  </si>
  <si>
    <t>435 Pupil transportation—ELL compensatory instruction</t>
  </si>
  <si>
    <t>Total expenses (lines 20 and 21)</t>
  </si>
  <si>
    <t>1000 Schoolwide Project</t>
  </si>
  <si>
    <t>2100 Students</t>
  </si>
  <si>
    <t>2200 Instruction</t>
  </si>
  <si>
    <t>2300 General administration</t>
  </si>
  <si>
    <t>Special education programs</t>
  </si>
  <si>
    <t>2400 School administration</t>
  </si>
  <si>
    <t>2500 Central services</t>
  </si>
  <si>
    <t>2600 Operation &amp; maintenance of plant</t>
  </si>
  <si>
    <t>2900 Other support services</t>
  </si>
  <si>
    <t>Total</t>
  </si>
  <si>
    <t>Regular education subtotal</t>
  </si>
  <si>
    <t>Expenses by project</t>
  </si>
  <si>
    <t>Schoolwide</t>
  </si>
  <si>
    <t>Classroom Site Project</t>
  </si>
  <si>
    <t>Instructional Improvement</t>
  </si>
  <si>
    <t>English Language Learner</t>
  </si>
  <si>
    <t>ELL Compensatory Instruction</t>
  </si>
  <si>
    <t>Federal projects</t>
  </si>
  <si>
    <t>State projects</t>
  </si>
  <si>
    <t>Total expenses</t>
  </si>
  <si>
    <t>Special education subtotal</t>
  </si>
  <si>
    <t>Average teacher salary</t>
  </si>
  <si>
    <t>300 Special Ed.Disability Title 8 PL 103-382 Add-On</t>
  </si>
  <si>
    <t>540 Joint career &amp; tech. ed. &amp; voc. ed. center</t>
  </si>
  <si>
    <t>Percentage increase</t>
  </si>
  <si>
    <t>All Projects</t>
  </si>
  <si>
    <t>x</t>
  </si>
  <si>
    <t>Comments (optional)</t>
  </si>
  <si>
    <t>Base support level weights (Group A weights)  [A.R.S. §§15-943 and 15-185]</t>
  </si>
  <si>
    <r>
      <t xml:space="preserve">Please </t>
    </r>
    <r>
      <rPr>
        <b/>
        <sz val="10"/>
        <rFont val="Arial"/>
        <family val="2"/>
      </rPr>
      <t>uncheck</t>
    </r>
    <r>
      <rPr>
        <sz val="10"/>
        <rFont val="Arial"/>
        <family val="2"/>
      </rPr>
      <t xml:space="preserve"> each box that </t>
    </r>
    <r>
      <rPr>
        <b/>
        <sz val="10"/>
        <rFont val="Arial"/>
        <family val="2"/>
      </rPr>
      <t>does not</t>
    </r>
    <r>
      <rPr>
        <sz val="10"/>
        <rFont val="Arial"/>
        <family val="2"/>
      </rPr>
      <t xml:space="preserve"> apply. Unchecking a box indicates the criteria does not apply to the charter school. If all boxes are unchecked, the small school weight adjustment does not apply to the school. 
For any boxes that are checked, please provide the required additional information described. Failure to provide complete and accurate information may result in inaccurate State aid calculations and future corrections/ADM audit findings.  
Charter schools not sponsored by the Arizona State Board for Charter Schools should contact ADE's School Finance payment team by email at SFPaymentTeam@azed.gov.</t>
    </r>
  </si>
  <si>
    <t>Additional information</t>
  </si>
  <si>
    <t>X</t>
  </si>
  <si>
    <t>The organizational structure or management agreement of your charter holder requires your charter holder or charter school to contract with a specific management company.</t>
  </si>
  <si>
    <t>The governing body of your charter holder has identical membership to another charter holder in this State.</t>
  </si>
  <si>
    <t>Your charter holder is a subsidiary of a corporation that has other subsidiaries that are charter holders in this State.</t>
  </si>
  <si>
    <t>Your charter holder holds more than 1 charter in this State.</t>
  </si>
  <si>
    <t xml:space="preserve">Individual charter school counts </t>
  </si>
  <si>
    <t>PSD-12 student count</t>
  </si>
  <si>
    <t>PSD</t>
  </si>
  <si>
    <t>K-8</t>
  </si>
  <si>
    <t>9-12</t>
  </si>
  <si>
    <t>Non-AOI student count</t>
  </si>
  <si>
    <t>Full-time AOI student count</t>
  </si>
  <si>
    <t>+</t>
  </si>
  <si>
    <t>Part-time AOI student count</t>
  </si>
  <si>
    <t xml:space="preserve">    Total student count</t>
  </si>
  <si>
    <t>=</t>
  </si>
  <si>
    <t>Charter holder total charter school counts (complete only if 1 or more criteria above are checked)</t>
  </si>
  <si>
    <t>Enter total student counts for PSD, K-8, and 9-12 students for all of the charter holder's affiliated charter schools. This table must be completed unless all boxes have been unchecked to indicate that the charter holder has no affiliated charter schools.</t>
  </si>
  <si>
    <r>
      <t>Support level weights (Group B weights)</t>
    </r>
    <r>
      <rPr>
        <b/>
        <strike/>
        <sz val="12"/>
        <rFont val="Arial"/>
        <family val="2"/>
      </rPr>
      <t xml:space="preserve"> </t>
    </r>
    <r>
      <rPr>
        <b/>
        <sz val="12"/>
        <rFont val="Arial"/>
        <family val="2"/>
      </rPr>
      <t>[A.R.S. §§15-943, 15-185 &amp; 15-808]</t>
    </r>
  </si>
  <si>
    <t>Student count add-ons</t>
  </si>
  <si>
    <t>AOI full-time student count</t>
  </si>
  <si>
    <t>AOI part-time student count</t>
  </si>
  <si>
    <t>K-3 Reading</t>
  </si>
  <si>
    <t>K-3</t>
  </si>
  <si>
    <t>English Learners (ELL)</t>
  </si>
  <si>
    <t>Hearing Impairment (HI)</t>
  </si>
  <si>
    <t>MD-R, A-R, and SID-R     (1)</t>
  </si>
  <si>
    <t>MD-SC, A-SC, and SID-SC     (2)</t>
  </si>
  <si>
    <t>Multiple Disabilities Severe Sensory Impairment</t>
  </si>
  <si>
    <t>Orthopedic Impairment (Resource)</t>
  </si>
  <si>
    <t>Orthopedic Impairment (Self Contained)</t>
  </si>
  <si>
    <t>Preschool-Severe Delay (P-SD)</t>
  </si>
  <si>
    <t>DD, ED, MIID, SLD, SLI, and OHI     (3)</t>
  </si>
  <si>
    <t>Emotional Disability (Private)</t>
  </si>
  <si>
    <t>Moderate Intellectual Disability (MOID)</t>
  </si>
  <si>
    <t>Visual Impairment (VI)</t>
  </si>
  <si>
    <r>
      <t xml:space="preserve">Total weighted student count (lines 1 </t>
    </r>
    <r>
      <rPr>
        <sz val="10"/>
        <rFont val="Arial"/>
        <family val="2"/>
      </rPr>
      <t>through 16)</t>
    </r>
  </si>
  <si>
    <t>(1)</t>
  </si>
  <si>
    <t>MD-R (Multiple Disabilities-Resource), A-R (Autism-Resource), and SID-R (Severe Intellectual Disability-Resource)</t>
  </si>
  <si>
    <t>(2)</t>
  </si>
  <si>
    <t>MD-SC (Multiple Disabilities-Self-Contained), A-SC (Autism-Self-Contained), and SID-SC (Severe Intellectual Disability-Self-Contained)</t>
  </si>
  <si>
    <t>(3)</t>
  </si>
  <si>
    <t>DD (Developmental Delay for children in kindergarten through age 10), ED (Emotional Disabilities), MIID (Mild Intellectual Disability), SLD (Specific Learning Disability), SLI (Speech/Language Impairment), and OHI (Other Health Impairments)</t>
  </si>
  <si>
    <t>(4)</t>
  </si>
  <si>
    <t>(5)</t>
  </si>
  <si>
    <t>Base support level adjustments [A.R.S. §§15-943 &amp; 15-185]</t>
  </si>
  <si>
    <r>
      <t xml:space="preserve">Check box if the school has been approved to provide </t>
    </r>
    <r>
      <rPr>
        <sz val="10"/>
        <rFont val="Arial"/>
        <family val="2"/>
      </rPr>
      <t xml:space="preserve">at least 200 days of instruction by ADE. </t>
    </r>
  </si>
  <si>
    <t>Decrease for federal and State monies received for M&amp;O purposes</t>
  </si>
  <si>
    <t xml:space="preserve">Enter the amount received from federal or State agencies for basic maintenance and operation of the school (except for ESEA Title VIII). Do not include federal or State grants that are received for a specific purpose. (A.R.S. §15-185)
In accordance with A.R.S. §15-185(P), the Auditor General has determined that the following federal monies meet the definition of “monies intended for the basic maintenance and operations of the school” (as referred to in that subsection), that must be used to reduce the base support level and State equalization assistance, as directed by A.R.S. §15-185(D). This list is not necessarily all-inclusive. The Auditor General may determine in the future that other federal or State grants meet the definition of “monies intended for the basic maintenance and operations of the school.”
</t>
  </si>
  <si>
    <t xml:space="preserve">1. Indian School Equalization Program entitlements received for:
    • Instructional costs (basic program, gifted &amp; talented programs, and small school adjustment)
    • Bilingual instruction costs (supplemental programs–bilingual program)
    • Exceptional child education costs (exceptional child programs)
    • Student Transportation Fund costs
    • School Board Training Fund costs (school board supplement)
Indian School Equalization Program entitlements received for boarding costs, dormitory costs, intense residential guidance costs, and pre-kindergarten costs would not be subject to the reduction.
2. Administrative cost grant entitlements received.
</t>
  </si>
  <si>
    <t xml:space="preserve">Adjustment for remote instructional time [A.R.S. §15-901.08] </t>
  </si>
  <si>
    <t>This line should be left blank for budget adoption. If a school provides instructional time in a remote setting beyond the thresholds prescribed in A.R.S. §15-901.08(C)(3)(b)(i) in any school year, ADE shall calculate the total percentage of remote instructional time that exceeded the threshold and fund that percentage of the base support level at 95 percent of the base support level that would otherwise be calculated for the school. ADE will notify schools of the adjustment amount, if any. Enter the amount provided by ADE, if any, as a negative number.</t>
  </si>
  <si>
    <t>Base support level weights calculation [A.R.S. §§15-943 and 15-185]</t>
  </si>
  <si>
    <t xml:space="preserve">Table 1 - Individual charter school counts </t>
  </si>
  <si>
    <t>Support level weights to be used for:</t>
  </si>
  <si>
    <t>Student count 0.001-99.999</t>
  </si>
  <si>
    <t>Support level weight</t>
  </si>
  <si>
    <t>Student count 100.000-499.999</t>
  </si>
  <si>
    <t>Student count constant</t>
  </si>
  <si>
    <t>Student count</t>
  </si>
  <si>
    <t>-</t>
  </si>
  <si>
    <t>Difference</t>
  </si>
  <si>
    <t>Weight adjustment factor</t>
  </si>
  <si>
    <t>Support level weight increase</t>
  </si>
  <si>
    <t>Support level weight constant</t>
  </si>
  <si>
    <t xml:space="preserve">    Support level weight </t>
  </si>
  <si>
    <t>Student count 500.000-599.999</t>
  </si>
  <si>
    <t xml:space="preserve">Student count 600.000 or more </t>
  </si>
  <si>
    <t>Table 2 - Charter holder total charter school counts (only calculated if 1 or more criteria are checked on the Data Entry tab)</t>
  </si>
  <si>
    <t>Student Count 0.001-99.999</t>
  </si>
  <si>
    <t>Support level</t>
  </si>
  <si>
    <t>Support level weight from Table 1</t>
  </si>
  <si>
    <t>Support level weight from Table 2 (based on small school weight eligibility)</t>
  </si>
  <si>
    <r>
      <rPr>
        <sz val="10"/>
        <rFont val="Arial"/>
        <family val="2"/>
      </rPr>
      <t>Support level weight (lesser of lines 1 and 2, as applicable, as shown on BSA 55-1)</t>
    </r>
    <r>
      <rPr>
        <strike/>
        <sz val="10"/>
        <rFont val="Arial"/>
        <family val="2"/>
      </rPr>
      <t xml:space="preserve"> </t>
    </r>
  </si>
  <si>
    <t xml:space="preserve"> Base support level amounts from total K-3 and total K-3 Reading weighted student counts</t>
  </si>
  <si>
    <t>A.R.S. §15-211 requires schools to submit a plan to ADE by October 1 for improving the reading proficiency of its pupils in kindergarten programs and grades 1-3. The plan must include a budget for spending monies from both the K-3 and K-3 Reading support level weights. Schools must use monies generated by the K-3 Reading weight only on instructional purposes intended to improve reading proficiency for pupils in kindergarten through 3rd grade with particular emphasis on pupils in kindergarten through 2nd grade. The K-3 Reading weight will only be included in the School's BSA 55-1 after the School's K-3 Reading Program Plan is approved by the State Board of Education. Contact ADE's Move on When Reading program area with questions at http://www.azed.gov/mowr/</t>
  </si>
  <si>
    <t>Total weighted student count</t>
  </si>
  <si>
    <t>Non-AOI</t>
  </si>
  <si>
    <t>AOI FT*</t>
  </si>
  <si>
    <t>AOI PT*</t>
  </si>
  <si>
    <t>*AOI counts shown reflect applicable full-time or part-time funding ratio.</t>
  </si>
  <si>
    <t>Basic Calculations For Equalization Assistance</t>
  </si>
  <si>
    <t>Page 1 of 3</t>
  </si>
  <si>
    <t>Grade Levels</t>
  </si>
  <si>
    <t>Non-AOI 
Student Count</t>
  </si>
  <si>
    <t>AOI-FT 
Student Count</t>
  </si>
  <si>
    <t>AOI-PT
Student Count</t>
  </si>
  <si>
    <t>Support Level 
Weight</t>
  </si>
  <si>
    <t>Non-AOI 
Weighted Student
Count</t>
  </si>
  <si>
    <t>AOI-FT 
Weighted Student
Count</t>
  </si>
  <si>
    <t>AOI-PT
Weighted Student
Count</t>
  </si>
  <si>
    <t>K-8,UE</t>
  </si>
  <si>
    <t>Regular Education Unweighted Student Count</t>
  </si>
  <si>
    <t>Total of Unweighted Student Count</t>
  </si>
  <si>
    <t>Regular Education Weighted Student Count</t>
  </si>
  <si>
    <t>Total of Weighted Student Count</t>
  </si>
  <si>
    <t xml:space="preserve">Add Ons </t>
  </si>
  <si>
    <t>ELL</t>
  </si>
  <si>
    <t>K-3 (Reading)</t>
  </si>
  <si>
    <t>HI</t>
  </si>
  <si>
    <t>MD-R, A-R, SID-R</t>
  </si>
  <si>
    <t>MD-SC, A-SC, SID-SC</t>
  </si>
  <si>
    <t>MD-SSI</t>
  </si>
  <si>
    <t>OI-R</t>
  </si>
  <si>
    <t>OI-SC</t>
  </si>
  <si>
    <t>P-SD</t>
  </si>
  <si>
    <t>DD, ED, MIID, SLD, SLI, OHI</t>
  </si>
  <si>
    <t>ED-P</t>
  </si>
  <si>
    <t>MOID</t>
  </si>
  <si>
    <t>VI</t>
  </si>
  <si>
    <t>G</t>
  </si>
  <si>
    <t>FRPL</t>
  </si>
  <si>
    <t>Group B - Add On Unweighted Student Count</t>
  </si>
  <si>
    <t>Total Unweighted Group B Add On</t>
  </si>
  <si>
    <t>Group B - Add On Weighted Student Count</t>
  </si>
  <si>
    <t>Total Weighted Group B Add On</t>
  </si>
  <si>
    <t>Page 2 of 3</t>
  </si>
  <si>
    <r>
      <rPr>
        <b/>
        <u/>
        <sz val="10"/>
        <rFont val="Arial"/>
        <family val="2"/>
      </rPr>
      <t>Calculation For Base Support Level</t>
    </r>
  </si>
  <si>
    <t>Non-AOI 
Weighted Student Count</t>
  </si>
  <si>
    <t>AOI-FT 
Weighted Student Count</t>
  </si>
  <si>
    <t>AOI-PT
Weighted Student Count</t>
  </si>
  <si>
    <t>Total Student Count</t>
  </si>
  <si>
    <t>AOI Funding Factor</t>
  </si>
  <si>
    <t>Weighted Student Count</t>
  </si>
  <si>
    <t>Total Weighted Student Count</t>
  </si>
  <si>
    <t>Base Support Level</t>
  </si>
  <si>
    <r>
      <rPr>
        <b/>
        <sz val="10"/>
        <rFont val="Arial"/>
        <family val="2"/>
      </rPr>
      <t xml:space="preserve">Base Support Level Adjustments
</t>
    </r>
    <r>
      <rPr>
        <sz val="10"/>
        <rFont val="Arial"/>
        <family val="2"/>
      </rPr>
      <t xml:space="preserve">                                                                                                                                                                                                                  </t>
    </r>
  </si>
  <si>
    <t xml:space="preserve">Audit Service Expense        </t>
  </si>
  <si>
    <t>Adjustment For Remote Instructional Time Calculated By ADE</t>
  </si>
  <si>
    <t>Adjusted Base Support Level</t>
  </si>
  <si>
    <t>Page 3 of 3</t>
  </si>
  <si>
    <t>Calculation For CAA</t>
  </si>
  <si>
    <t>Student Count</t>
  </si>
  <si>
    <t>Additional Assistance Per Student</t>
  </si>
  <si>
    <t>Additional Assistance</t>
  </si>
  <si>
    <t>Total Charter Additional Assistance</t>
  </si>
  <si>
    <t>Additional Assistance Adjustments</t>
  </si>
  <si>
    <t xml:space="preserve">Adjusted Total Charter Additional Assistance  </t>
  </si>
  <si>
    <t>Equalization Assistance</t>
  </si>
  <si>
    <t xml:space="preserve">Adjusted Base Support Level     </t>
  </si>
  <si>
    <t>Adjusted Total Charter Additional Assistance</t>
  </si>
  <si>
    <t xml:space="preserve">Equalization Assistance   </t>
  </si>
  <si>
    <t>Page</t>
  </si>
  <si>
    <t>Reference</t>
  </si>
  <si>
    <t>Instruction</t>
  </si>
  <si>
    <t>Summary of significant changes</t>
  </si>
  <si>
    <t>Cover</t>
  </si>
  <si>
    <t>General</t>
  </si>
  <si>
    <t xml:space="preserve">This cell will only accept entries of 9 digits. Do not include any slashes, dashes, etc. Enter the school's CTD number plus 3 zeros. </t>
  </si>
  <si>
    <t xml:space="preserve">The version of the budget being submitted on the cover page is formatted with a drop-down menu. Select the appropriate choice from the menu: Proposed or Adopted.
All information on the cover page must be completed/updated when the proposed or adopted budget is printed out for the Governing Board to sign. 
</t>
  </si>
  <si>
    <t>Estimated revenues</t>
  </si>
  <si>
    <t>In accordance with A.R.S. §15-189.05, a school's budget shall include the prominent display of the average salary of all teachers the school employed for the budget and prior years, and the increase in the average salary of all teachers the school employed for the budget year reported in dollars and percentage. Schools must also prominently post this information on their home page separately from its budget. The statute does not provide a definition of a teacher. Each charter should be consistent in the type of salary information included in this table from year to year. An optional comment box is available to provide any additional detail regarding the average teacher salary calculation. Schools should revise the average teacher salary information anytime it submits a revised budget to ADE.</t>
  </si>
  <si>
    <t>Program 550</t>
  </si>
  <si>
    <t>Schools should budget for K-3 Reading Program expenses in program code 550. 
The State Board of Education must give approval to a school before any portion of the monies generated by the K-3 Reading support level weight may be distributed to the school. A.R.S. §15-211. Contact ADE's Move on When Reading program area with questions concerning the K-3 Reading plan requirement and approval status at:</t>
  </si>
  <si>
    <t>http://www.azed.gov/mowr/</t>
  </si>
  <si>
    <t>Federal and State projects, line 37</t>
  </si>
  <si>
    <t>Include the total of federal and State project expenses (project codes 1100 through 1499 from page 2) on line 37. Schools should not include federal and State project expenses with other Schoolwide Project expenses on lines 1 through 36.</t>
  </si>
  <si>
    <t>Employee benefits</t>
  </si>
  <si>
    <t>Updated contribution rates.</t>
  </si>
  <si>
    <t>College Credit Exam Incentives</t>
  </si>
  <si>
    <r>
      <t>Schools that receive monies from the college credit by examination incentive program per A.R.S. §15-249.06 should deposit them in Project 1456</t>
    </r>
    <r>
      <rPr>
        <sz val="10"/>
        <rFont val="Calibri"/>
        <family val="2"/>
      </rPr>
      <t>—</t>
    </r>
    <r>
      <rPr>
        <sz val="10"/>
        <rFont val="Arial"/>
        <family val="2"/>
      </rPr>
      <t>College Credit Exam Incentives. Schools must distribute at least 50 percent of the bonus monies received from this program to the classroom teacher for each student who passes a qualifying exam and to other teachers of relevant subjects who instructed that student, including but not limited to teachers in the same department or subject matter that contributed to the student passing the exam, as identified by the governing body or the school principal. The remainder of any bonus monies received from this program must be allocated by the school principal on behalf of students who receive a passing score and may be used for teacher professional development or student instructional support, reimbursement of exam fees, or instructional materials.</t>
    </r>
  </si>
  <si>
    <t>Arizona Industry Credentials Incentive</t>
  </si>
  <si>
    <t xml:space="preserve">Schools that receive monies from the Arizona Industry Credentials Incentive Project per A.R.S. §15-249.15 should deposit them as a separate State project using project object code beginning with 14XX. Monies received must be used for instructional costs and professional development for a career technical education program teacher to become a certifying professional for an approved certificate, credential or license; to offset the students' cost of certification, credentialing or licensure; for developmental costs related to creating, expanding or improving an approved site of a certificate, credential or license career technical program or course; for instructional hardware, software or supplies required for the certification, credentialing or licensure; for career exploration in any school grade and awareness activities for parents, students and the community for the approved sectors. 
 </t>
  </si>
  <si>
    <t>Budgeted expenditures related to monies remaining in Project 1457—Results-based Funding should be reported on line 28—Other State Projects, along with any other State project funds not included on lines 19 through 29 above.</t>
  </si>
  <si>
    <t>Schools budgeting for special education expenses in program code 200 should report amounts allocated by program type on page 2. Supporting documentation should be retained for the allocation of expenses budgeted for individual special education programs.</t>
  </si>
  <si>
    <t>Special education programs by type, line 1</t>
  </si>
  <si>
    <t>Schools should budget total expenses for the disability classifications defined in A.R.S. §15-761.</t>
  </si>
  <si>
    <t>Special education programs by type, line 9</t>
  </si>
  <si>
    <t>Schools should budget for total transportation expenses within program 400 for transporting students whose IEPs will require transportation as necessary for the provision of free and appropriate public education (FAPE).</t>
  </si>
  <si>
    <t xml:space="preserve">Audit services expense should be the total audit costs to be incurred during the budget year.
Classroom instruction expenses should be the total of expenses budgeted in function code 1000 for program codes 100, 200, and 500 for the budget year.
</t>
  </si>
  <si>
    <t>State equalization assistance budgeted for food service expenses</t>
  </si>
  <si>
    <t xml:space="preserve">Instructional Improvement Project </t>
  </si>
  <si>
    <t>See USFRCS page III-B-1 for guidance on using the Instructional Improvement Project (Project 1020).</t>
  </si>
  <si>
    <t>Instructional Improvement Project, lines 3 and 4</t>
  </si>
  <si>
    <t>Instructional Improvement Project monies spent for dropout prevention programs and instructional improvement programs must be spent for maintenance and operation purposes only.</t>
  </si>
  <si>
    <t xml:space="preserve">Expenses made from the CSP (1010) should be made in accordance with A.R.S. §15-977 and must be used to supplement, rather than supplant, existing monies. Schools may establish any CSP subprojects (1011-1019) to track monies for specific allowable purposes or separately account for carryover balances and other one-time CSP monies. One total budget for all CSP monies must be reported here, in Project 1010.
Line 4 should include expenses for teacher liability insurance premiums made from Project 1010.   
</t>
  </si>
  <si>
    <t>Classroom Site Project budgeted property payments</t>
  </si>
  <si>
    <t>English Language Learner Project</t>
  </si>
  <si>
    <t>See USFRCS page III-B-2 for guidance on using the English Language Learner Project (Project 1071). To efficiently record English Language Learner expenses, schools should be using program code 260, special education—ELL incremental costs and program 430, pupil transportation—ELL incremental costs, as applicable.</t>
  </si>
  <si>
    <t>Compensatory Instruction Project</t>
  </si>
  <si>
    <t>See USFRCS page III-B-2 for guidance on using the Compensatory Instruction Project (Project 1072). To efficiently record English language learner and compensatory instruction expenses, schools should be using program codes 265, special education—ELL compensatory instruction and program 435, pupil transportation—ELL compensatory instruction, as applicable.</t>
  </si>
  <si>
    <t>Budget summary</t>
  </si>
  <si>
    <t xml:space="preserve">The information on the Budget Summary is self-populating and will be automatically brought forward from the other pages of the Budget. </t>
  </si>
  <si>
    <t>Line 1</t>
  </si>
  <si>
    <t>Line 2 (a)</t>
  </si>
  <si>
    <t>Line 2 (b)</t>
  </si>
  <si>
    <t>Line 3 (a)</t>
  </si>
  <si>
    <t>Line 3 (b)</t>
  </si>
  <si>
    <t>Line 4 (a)</t>
  </si>
  <si>
    <t>Line 4 (b)</t>
  </si>
  <si>
    <t>Line 4 (c)</t>
  </si>
  <si>
    <t>Line 4 (d)</t>
  </si>
  <si>
    <t>Line 5</t>
  </si>
  <si>
    <t>Charter website link of posted budget</t>
  </si>
  <si>
    <t>Charter website link</t>
  </si>
  <si>
    <t>Charter Management Organization (CMO)</t>
  </si>
  <si>
    <t>Education Management Organization (EMO)</t>
  </si>
  <si>
    <t>Single Management (non-profit)</t>
  </si>
  <si>
    <t>Single Management (for-profit)</t>
  </si>
  <si>
    <t>Project 
balances</t>
  </si>
  <si>
    <t>Free and Reduced-Price Lunch (FRPL)    (4)</t>
  </si>
  <si>
    <t>Educational Programs for Gifted Pupils (G)     (5)</t>
  </si>
  <si>
    <r>
      <t xml:space="preserve">Select the type of organization from the drop down menu and report the management organization details (if applicable): 
</t>
    </r>
    <r>
      <rPr>
        <b/>
        <sz val="10"/>
        <rFont val="Arial"/>
        <family val="2"/>
      </rPr>
      <t>Charter Management Organization (CMO)</t>
    </r>
    <r>
      <rPr>
        <sz val="10"/>
        <rFont val="Arial"/>
        <family val="2"/>
      </rPr>
      <t xml:space="preserve"> - A non-profit organization that operates or manages a network of charter schools (either through a contract or as the charter holder) linked by centralized support, operations, and oversight.
</t>
    </r>
    <r>
      <rPr>
        <b/>
        <sz val="10"/>
        <rFont val="Arial"/>
        <family val="2"/>
      </rPr>
      <t>Education Management Organization (EMO</t>
    </r>
    <r>
      <rPr>
        <sz val="10"/>
        <rFont val="Arial"/>
        <family val="2"/>
      </rPr>
      <t xml:space="preserve">) - A for-profit entity that operates or manages a network of charter schools (either through a contract or as the charter holder) linked by centralized support, operations, and oversight.
</t>
    </r>
    <r>
      <rPr>
        <b/>
        <sz val="10"/>
        <rFont val="Arial"/>
        <family val="2"/>
      </rPr>
      <t>Single Management (non-profit)</t>
    </r>
    <r>
      <rPr>
        <sz val="10"/>
        <rFont val="Arial"/>
        <family val="2"/>
      </rPr>
      <t xml:space="preserve"> - A non-profit organization that is not a CMO or EMO and that provides management services to one charter school. 
</t>
    </r>
    <r>
      <rPr>
        <b/>
        <sz val="10"/>
        <rFont val="Arial"/>
        <family val="2"/>
      </rPr>
      <t>Single Management (for-profit)</t>
    </r>
    <r>
      <rPr>
        <sz val="10"/>
        <rFont val="Arial"/>
        <family val="2"/>
      </rPr>
      <t xml:space="preserve"> - A for-profit entity that is not a CMO or EMO and that provides management services to one charter school. 
Please contact ADE's School Finance Budget Team with questions about completing this section.</t>
    </r>
  </si>
  <si>
    <t>Charter information</t>
  </si>
  <si>
    <t>4. a</t>
  </si>
  <si>
    <t>4. b</t>
  </si>
  <si>
    <t>4. c</t>
  </si>
  <si>
    <t>4. d</t>
  </si>
  <si>
    <t>4. e</t>
  </si>
  <si>
    <t>4. f</t>
  </si>
  <si>
    <t>4. g</t>
  </si>
  <si>
    <t>4. h</t>
  </si>
  <si>
    <t>Schools may use ADE's FRPL20-summary ADM report and/or FRPL30-site summary ADM report in AzEDS to estimate FY 2026 eligible student counts. This weight applies to all students in schools with community eligibility.</t>
  </si>
  <si>
    <t>Separate accountability is required for each federal and State project. Therefore, charter schools should estimate the expenses for each federal or State project in which the school participates. The totals on line 32 should agree with the total columns for federal and State projects on line 37 of page 1. A.R.S. §15-1261 requires charter schools to establish an E-rate Project to account for any E-rate funding the school receives. Include monies budgeted for the E-rate Project within Other Federal Projects on line 17.</t>
  </si>
  <si>
    <t>In accordance with A.R.S. §15-185(M), schools that maintain a website must post a copy of the proposed budget or budget summary and hearing notification on the school's website. Schools should paste a clickable link on the Cover tab to their school web page where the proposed budget or budget summary was posted.</t>
  </si>
  <si>
    <t>Base Level Amount (FY26)</t>
  </si>
  <si>
    <t>Instructions</t>
  </si>
  <si>
    <t xml:space="preserve">Before the 100th day in session, schools may use estimated student counts based on actual registration of students to determine the add-on weighted counts or counts may be left blank. After the 100th day in session for all schools, the student counts to determine the add-on weighted counts should be obtained from the following ADE reports:
K-3 and K-3 Reading: ADM20
ELL: English Learners (ELL) Students Served in Programs Under A.R.S. §15-754, ELL20          
Children with Disabilities: SPED20 </t>
  </si>
  <si>
    <t>FY 2027</t>
  </si>
  <si>
    <r>
      <t xml:space="preserve">We hereby certify that the budget for the school year </t>
    </r>
    <r>
      <rPr>
        <sz val="10"/>
        <rFont val="Arial"/>
        <family val="2"/>
      </rPr>
      <t>2027 was</t>
    </r>
  </si>
  <si>
    <r>
      <t xml:space="preserve">Total budgeted revenues for fiscal year </t>
    </r>
    <r>
      <rPr>
        <sz val="10"/>
        <rFont val="Arial"/>
        <family val="2"/>
      </rPr>
      <t>2026</t>
    </r>
  </si>
  <si>
    <r>
      <t xml:space="preserve">The FY </t>
    </r>
    <r>
      <rPr>
        <sz val="10"/>
        <rFont val="Arial"/>
        <family val="2"/>
      </rPr>
      <t>2027 budget file for the version described at left will be uploaded through the</t>
    </r>
  </si>
  <si>
    <r>
      <t xml:space="preserve">Check box if the school is new and will begin operations in FY </t>
    </r>
    <r>
      <rPr>
        <sz val="10"/>
        <rFont val="Arial"/>
        <family val="2"/>
      </rPr>
      <t>2027.</t>
    </r>
  </si>
  <si>
    <r>
      <t xml:space="preserve">1. Average salary of all teachers employed in budget year </t>
    </r>
    <r>
      <rPr>
        <sz val="10"/>
        <rFont val="Arial"/>
        <family val="2"/>
      </rPr>
      <t>2027</t>
    </r>
  </si>
  <si>
    <r>
      <t xml:space="preserve">2. Average salary of all teachers employed in prior year </t>
    </r>
    <r>
      <rPr>
        <sz val="10"/>
        <rFont val="Arial"/>
        <family val="2"/>
      </rPr>
      <t>2026</t>
    </r>
  </si>
  <si>
    <r>
      <t xml:space="preserve">3. Increase in average teacher salary from the prior year </t>
    </r>
    <r>
      <rPr>
        <sz val="10"/>
        <rFont val="Arial"/>
        <family val="2"/>
      </rPr>
      <t>2026</t>
    </r>
  </si>
  <si>
    <t>Estimated revenues by source for fiscal year 2027</t>
  </si>
  <si>
    <t>Base estimated revenues by source for FY 2027 on the best information available at the time the budget is prepared. Estimated revenues may be more or less than estimated expenses.</t>
  </si>
  <si>
    <r>
      <t xml:space="preserve">Prior year </t>
    </r>
    <r>
      <rPr>
        <sz val="10"/>
        <rFont val="Arial"/>
        <family val="2"/>
      </rPr>
      <t>2026</t>
    </r>
  </si>
  <si>
    <r>
      <t xml:space="preserve">Budget year </t>
    </r>
    <r>
      <rPr>
        <sz val="10"/>
        <rFont val="Arial"/>
        <family val="2"/>
      </rPr>
      <t>2027</t>
    </r>
  </si>
  <si>
    <r>
      <t xml:space="preserve">Prior year
</t>
    </r>
    <r>
      <rPr>
        <sz val="10"/>
        <rFont val="Arial"/>
        <family val="2"/>
      </rPr>
      <t>2026</t>
    </r>
  </si>
  <si>
    <r>
      <t xml:space="preserve">Budget year
</t>
    </r>
    <r>
      <rPr>
        <sz val="10"/>
        <rFont val="Arial"/>
        <family val="2"/>
      </rPr>
      <t>2027</t>
    </r>
  </si>
  <si>
    <r>
      <t>Program 200 prior year</t>
    </r>
    <r>
      <rPr>
        <sz val="10"/>
        <rFont val="Arial"/>
        <family val="2"/>
      </rPr>
      <t xml:space="preserve"> 2026</t>
    </r>
  </si>
  <si>
    <r>
      <t xml:space="preserve">Program 200 budget year </t>
    </r>
    <r>
      <rPr>
        <sz val="10"/>
        <rFont val="Arial"/>
        <family val="2"/>
      </rPr>
      <t>2027</t>
    </r>
  </si>
  <si>
    <r>
      <t xml:space="preserve">Prior year  </t>
    </r>
    <r>
      <rPr>
        <sz val="10"/>
        <rFont val="Arial"/>
        <family val="2"/>
      </rPr>
      <t>2026</t>
    </r>
  </si>
  <si>
    <r>
      <t xml:space="preserve">Average salary of all teachers employed in the budget year </t>
    </r>
    <r>
      <rPr>
        <sz val="10"/>
        <rFont val="Arial"/>
        <family val="2"/>
      </rPr>
      <t>2027</t>
    </r>
  </si>
  <si>
    <r>
      <t>Average salary of all teachers employed in the prior year</t>
    </r>
    <r>
      <rPr>
        <sz val="10"/>
        <rFont val="Arial"/>
        <family val="2"/>
      </rPr>
      <t xml:space="preserve"> 2026</t>
    </r>
  </si>
  <si>
    <r>
      <t xml:space="preserve">Increase in average teacher salary from the prior year </t>
    </r>
    <r>
      <rPr>
        <sz val="10"/>
        <rFont val="Arial"/>
        <family val="2"/>
      </rPr>
      <t>2026</t>
    </r>
  </si>
  <si>
    <t>Estimated FY 2026 project balances and planned uses in FY 2027 and thereafter</t>
  </si>
  <si>
    <t>FY 2025 final ending project balance</t>
  </si>
  <si>
    <r>
      <t>If the final ending project balance does not agree with the submitted FY</t>
    </r>
    <r>
      <rPr>
        <sz val="10"/>
        <rFont val="Arial"/>
        <family val="2"/>
      </rPr>
      <t xml:space="preserve"> 2025 AFR, revise the AFR and resubmit to ADE</t>
    </r>
  </si>
  <si>
    <t xml:space="preserve">FY 2026 activity, year-to-date and estimated through June 30 </t>
  </si>
  <si>
    <t>Estimated FY 2026 ending project balance</t>
  </si>
  <si>
    <t>Estimated FY 2026 ending project balance and planned uses</t>
  </si>
  <si>
    <t>This tab presents information on the amount and planned use of the Charter's project balances to increase transparency and provide decision-makers, other stakeholders, and the public more complete financial information. Other than the FY 2025 ending project balance amounts, all amounts included on this tab are estimates.</t>
  </si>
  <si>
    <r>
      <t xml:space="preserve">Enter total student counts for the charter school for PSD, K-8, and 9-12 students. Student count must be estimated student counts based on actual registration of students. Actual registration of PSD and kindergarten students should be divided by 2 to get estimated student counts for kindergarten. After the 100th day in session, the ADE FY </t>
    </r>
    <r>
      <rPr>
        <sz val="10"/>
        <rFont val="Arial"/>
        <family val="2"/>
      </rPr>
      <t xml:space="preserve">2027 ADM20 should be used, available via ADE Connect, AzEDS Portal. Schools approved to provide at least 200 days of instruction will adjust their FY 2028 budget for discrepancies between the FY 2027 100th-day and 200th-day student counts. (The Total K-UE report is used for K-8 and/or 9-12) </t>
    </r>
  </si>
  <si>
    <r>
      <t xml:space="preserve">Schools may use ADE's GIFT20-summary ADM report in AzEDS to estimate FY </t>
    </r>
    <r>
      <rPr>
        <sz val="10"/>
        <rFont val="Arial"/>
        <family val="2"/>
      </rPr>
      <t>2027 eligible student counts.</t>
    </r>
  </si>
  <si>
    <r>
      <t xml:space="preserve">A.R.S. §15-902.04 allows schools that provide </t>
    </r>
    <r>
      <rPr>
        <i/>
        <sz val="10"/>
        <rFont val="Arial"/>
        <family val="2"/>
      </rPr>
      <t>at least</t>
    </r>
    <r>
      <rPr>
        <sz val="10"/>
        <rFont val="Arial"/>
        <family val="2"/>
      </rPr>
      <t xml:space="preserve"> 200 days of instruction to increase the base level amount by 5 percent. To be eligible for this increase in funding, the school must be approved for 200 days of instruction by ADE and its sponsor. Schools must receive approval from ADE for FY 2027 prior to June 1, 2026. Please contact ADE's School Finance account analyst team by email with questions concerning at least 200 days of instruction at SFAnalystTeam@azed.gov.</t>
    </r>
  </si>
  <si>
    <r>
      <t>FY</t>
    </r>
    <r>
      <rPr>
        <sz val="10"/>
        <rFont val="Arial"/>
        <family val="2"/>
      </rPr>
      <t xml:space="preserve"> 2025 nonfederal audit service actual expense</t>
    </r>
  </si>
  <si>
    <r>
      <t>Schools must include audit costs for FY</t>
    </r>
    <r>
      <rPr>
        <sz val="10"/>
        <rFont val="Arial"/>
        <family val="2"/>
      </rPr>
      <t xml:space="preserve"> 2027 under "Selected expenses by type" on Budget page 2 to receive this increase. Enter the amount expended for audit services in FY 2024 from nonfederal monies to obtain the allowable increase in BSL for the budget year. Do not include the costs of consulting or other nonaudit services paid to audit firms (e.g., application fees paid for submission of school's reports to ASBO and GFOA for certification or for the preparation of the Meritorious Budget Award application to ASBO). A.R.S. §15-914(F) allows schools to increase their base support levels if audit costs will be incurred for the budget year.</t>
    </r>
  </si>
  <si>
    <r>
      <t xml:space="preserve">FY </t>
    </r>
    <r>
      <rPr>
        <sz val="10"/>
        <rFont val="Arial"/>
        <family val="2"/>
      </rPr>
      <t>2025 federal audit service actual expense</t>
    </r>
  </si>
  <si>
    <r>
      <t xml:space="preserve">Enter the amount expended for audit services in FY </t>
    </r>
    <r>
      <rPr>
        <sz val="10"/>
        <rFont val="Arial"/>
        <family val="2"/>
      </rPr>
      <t>2025 from federal monies. Do not include the costs of consulting or other nonaudit services paid to audit firms (e.g., application fees paid for submission of school's reports to ASBO and GFOA for certification or for the preparation of the Meritorious Budget Award application to ASBO).</t>
    </r>
  </si>
  <si>
    <t>These instructions will help charter schools prepare the budget. Within the forms, blue font and light blue highlights indicate that an instruction is linked to that specific line. We have provided an instructions button that links to any general instructions or to the first instruction for a page. The forms have been set to print without "objects" so that the instructions buttons do not print.
The cells in the prior year columns on the budget forms contain formulas that will bring forward budget amounts from the FY 2026 budget forms. However, the cells have not been protected so users may also enter the information manually. To bring forward amounts automatically, the most recently revised FY 2026 budget must be saved as budget25.xlsx in the C:\CSFORMS folder. If the file is not named budget25.xlsx, the formulas will not function properly. Excel will ask the user to update information when the budget26.xlsx file is opened. Users should review amounts reported in the prior year column to ensure they agree to the school’s most recently revised FY 2026 budget.   
Schools should complete the Data Entry page before completing pages 1 through 4. To ensure that the Arizona Department of Education (ADE) can properly access the school's data, do not change formulas without specific instructions from either the Arizona Auditor General's Office, Accountability Services Division, or ADE, School Finance.</t>
  </si>
  <si>
    <r>
      <t xml:space="preserve">Only report budgeted expenses for 1000-Schoolwide Project and 1500-1999-Other Special Projects on lines 1 through 32. Do not include the Classroom Site Project (project code 1010), Instructional Improvement Project (project code 1020), Structured English Immersion Project (project code 1071), Compensatory Instruction Project (project code 1072) or Federal and State projects (project codes 1100 through 1499) expenses.
Report budgeted expenses for programs 200-special education and 270-vocational and technical education on lines 16-27. Report budgeted expenses for program 400-pupil transportation on line 28.
Do not report depreciation or amortization expense on the budget forms. Only report purchases of capital assets including right-of-use assets acquired through </t>
    </r>
    <r>
      <rPr>
        <sz val="10"/>
        <color theme="1"/>
        <rFont val="Arial"/>
        <family val="2"/>
      </rPr>
      <t>leases</t>
    </r>
    <r>
      <rPr>
        <sz val="10"/>
        <color rgb="FFFF0000"/>
        <rFont val="Arial"/>
        <family val="2"/>
      </rPr>
      <t xml:space="preserve"> </t>
    </r>
    <r>
      <rPr>
        <sz val="10"/>
        <rFont val="Arial"/>
        <family val="2"/>
      </rPr>
      <t xml:space="preserve">(land and land improvements, site improvements, buildings and building improvements, equipment, and construction in progress) in the capital acquisitions section of page 2. </t>
    </r>
  </si>
  <si>
    <t>Schools participating in the Arizona State Retirement System should budget at the rate of 11.98 percent for covered positions. For positions subject to the Alternate Contribution Rate, schools should budget at the rate of 9.45 percent.</t>
  </si>
  <si>
    <t>Enter the increase in the capital asset accounts (intangible assets, land and land improvements, site improvements, buildings and building improvements, equipment, and construction in progress) for assets to be acquired by purchase, lease, or construction for all projects. 
If the school budgets for capital acquisitions related to the K-3 Reading Program, include the increase in the capital asset accounts for those acquisitions by asset type on lines 1 through 6. The total of all capital acquisitions for the K-3 Reading Program should be reported on line 8.</t>
  </si>
  <si>
    <r>
      <t xml:space="preserve">Report FY </t>
    </r>
    <r>
      <rPr>
        <sz val="10"/>
        <rFont val="Arial"/>
        <family val="2"/>
      </rPr>
      <t xml:space="preserve">2025 final ending project balances as reported in FY 2025 AFR. If the final ending reserve balance doesn't agree with the FY 2025 AFR, </t>
    </r>
    <r>
      <rPr>
        <u/>
        <sz val="10"/>
        <rFont val="Arial"/>
        <family val="2"/>
      </rPr>
      <t>revise the AFR and resubmit to ADE.</t>
    </r>
  </si>
  <si>
    <r>
      <t>Report FY</t>
    </r>
    <r>
      <rPr>
        <sz val="10"/>
        <rFont val="Arial"/>
        <family val="2"/>
      </rPr>
      <t xml:space="preserve"> 2026 estimated restricted ending project balance amounts. These amounts consist of donor-restricted or legally obligated resources. For-profit charter schools may report estimated appropriated retained earnings.</t>
    </r>
  </si>
  <si>
    <r>
      <t xml:space="preserve">Report FY </t>
    </r>
    <r>
      <rPr>
        <sz val="10"/>
        <rFont val="Arial"/>
        <family val="2"/>
      </rPr>
      <t>2026 estimated unrestricted ending project balance amounts.  These are amounts available for use in general operations and not subject to donor or grantor restrictions or legal obligations. For-profit charter schools may report estimated unappropriated retained earnings.</t>
    </r>
  </si>
  <si>
    <r>
      <t xml:space="preserve">For projects with a negative estimated FY </t>
    </r>
    <r>
      <rPr>
        <sz val="10"/>
        <rFont val="Arial"/>
        <family val="2"/>
      </rPr>
      <t xml:space="preserve">2026 ending project balance, enter the negative project balance amount on this line. These projects have deficit balances because expenses exceeded available resources from current revenues and prior year project balances and reduce the amount of resources available in future years. </t>
    </r>
  </si>
  <si>
    <r>
      <t xml:space="preserve">Report FY </t>
    </r>
    <r>
      <rPr>
        <sz val="10"/>
        <rFont val="Arial"/>
        <family val="2"/>
      </rPr>
      <t xml:space="preserve">2026 estimated ending project balance amounts that the Charter plans to spend to support FY 2027 budgeted spending after using all available FY 2027 revenues. Any nonspendable amounts included in ending project balance such as current prepaid assets should be included in this line if the charter plans to use them in FY 2027. Otherwise, such nonspendable assets should be included on line 4(d) based on the charter's plan to use them to benefit a future year, as applicable. </t>
    </r>
  </si>
  <si>
    <r>
      <t xml:space="preserve">Report FY </t>
    </r>
    <r>
      <rPr>
        <sz val="10"/>
        <rFont val="Arial"/>
        <family val="2"/>
      </rPr>
      <t xml:space="preserve">2026 estimated ending project balance amounts that the charter plans to spend in FY 2027 to support the operation of other school sites that operate within the same charter management organization (CMO). </t>
    </r>
    <r>
      <rPr>
        <u/>
        <sz val="10"/>
        <rFont val="Arial"/>
        <family val="2"/>
      </rPr>
      <t xml:space="preserve">This line only applies to charter schools that operate under the same CMO. </t>
    </r>
    <r>
      <rPr>
        <sz val="10"/>
        <rFont val="Arial"/>
        <family val="2"/>
      </rPr>
      <t xml:space="preserve"> CMO detail is reported on the contact page in this form.</t>
    </r>
  </si>
  <si>
    <r>
      <t xml:space="preserve">Report amounts the charter estimates it will maintain for spending after FY </t>
    </r>
    <r>
      <rPr>
        <sz val="10"/>
        <rFont val="Arial"/>
        <family val="2"/>
      </rPr>
      <t>2027, including amounts reserved to manage cash flows in future budget years to cover such things as revenue shortfalls, emergencies, and/or other unforeseen circumstances.</t>
    </r>
  </si>
  <si>
    <t>Schools participating in the National School Lunch Program are required to spend a portion of their State equalization assistance to support the operation of their food service program. Schools must report on their budget the amount of State equalization assistance that will be expended for their food service program during the 2027 school year. This amount will be used to determine school compliance with State matching requirements pursuant to CFR Title 7, §210.17(a). ADE’s Health and Nutrition Services will verify that the amount reported on the budget was reported as spent when schools’ annual financial reports are submitted. Direct any questions related to State matching requirements to Health and Nutrition Services at (602) 542-8700.</t>
  </si>
  <si>
    <t>Debt service amounts should include budgeted interest and redemption of principal for all programs. Interest should be budgeted expenses for object code 6850. Redemption of principal should include budgeted principal payments on leases and other long-term debt that will be recorded as a reduction of the related liability.</t>
  </si>
  <si>
    <t xml:space="preserve">Include allowable budgeted property disbursement, interest, and redemption of principal payments made in accordance with  §15-977. Property disbursements should include budgeted payments for capital acquisitions, not including related lease or other debt service payments. Budgeted interest expenses will be charged to object code 6850. Redemption of principal should include budgeted principal payments on leases and other long-term debt that will be recorded as a reduction of the related liability. </t>
  </si>
  <si>
    <t>School's State aid supplement</t>
  </si>
  <si>
    <t>School's onetime CAA supplement</t>
  </si>
  <si>
    <t>School's onetime FRPL supplement</t>
  </si>
  <si>
    <r>
      <t>Schools receive revenues from the Classroom Site Project (CSP) each year. A.R.S. §15-977(G)(1) requires the Joint Legislative Budget Committee to calculate an estimated per pupil amount each year. For FY 2027, the estimated cash payment is $883 per “Group A weighted” pupil (BSA55 Tab, Total of Non-AOI weighted student count, AOI full-time weighted student count, and AOI part-time weighted student count on row 13). The FY 2027 CSP YTD Payments Reports will be available on ADE’s website beginning in August 2026 at https://schoolfinancereports.azed.gov/. ADE uses schools' FY 2027 100th day student count as reported in the schools's FY 2027 ADM20A and ADM30 reports.</t>
    </r>
    <r>
      <rPr>
        <strike/>
        <sz val="10"/>
        <rFont val="Arial"/>
        <family val="2"/>
      </rPr>
      <t xml:space="preserve">
</t>
    </r>
  </si>
  <si>
    <r>
      <t xml:space="preserve">Report FY </t>
    </r>
    <r>
      <rPr>
        <sz val="10"/>
        <rFont val="Arial"/>
        <family val="2"/>
      </rPr>
      <t>2026 expenses, indirect costs, reversions, capital acquisitions, and redemption of principal in all projects. Enter actual amounts to date plus estimated amounts for the remainder of FY 2026, including all FY 2026 amounts that the charter anticipates spending during the encumbrance period.</t>
    </r>
  </si>
  <si>
    <t>Line 2 (c)</t>
  </si>
  <si>
    <t>(b)</t>
  </si>
  <si>
    <t xml:space="preserve"> FY 2026 revenues</t>
  </si>
  <si>
    <t xml:space="preserve"> FY 2026 expenses, indirect costs, reversions, capital acquisitions, and redemption of principal</t>
  </si>
  <si>
    <t>(a)</t>
  </si>
  <si>
    <t>(c)</t>
  </si>
  <si>
    <t>(d)</t>
  </si>
  <si>
    <r>
      <t xml:space="preserve">Report FY </t>
    </r>
    <r>
      <rPr>
        <sz val="10"/>
        <rFont val="Arial"/>
        <family val="2"/>
      </rPr>
      <t xml:space="preserve">2026 revenues. Enter actual amounts to date plus estimated amounts for the remainder of FY 2025, including all FY 2026 amounts that the charter anticipates receiving during the encumbrance period. </t>
    </r>
  </si>
  <si>
    <t>Total (must agree to line 3 above)</t>
  </si>
  <si>
    <t>Total project balance (should agree to amount on line 3)</t>
  </si>
  <si>
    <t>(e)</t>
  </si>
  <si>
    <t>With donor restrictions/Restricted</t>
  </si>
  <si>
    <t>Without donor restrictions/Unrestricted</t>
  </si>
  <si>
    <t>Deficit balance</t>
  </si>
  <si>
    <t xml:space="preserve">Planned to be spent in FY 2027 </t>
  </si>
  <si>
    <t>Planned to be spent in FY 2027 to support operations of other school sites within the same charter management organization</t>
  </si>
  <si>
    <t>Maintained for spending after FY 2027</t>
  </si>
  <si>
    <t xml:space="preserve"> FY 2026 beginning project balance adjustments:  _____________________________________________</t>
  </si>
  <si>
    <t>Report FY 2026 beginning project balance adjustments. This line should be left blank for budget adoption. Charters may enter an amount on the line if the school needs to adjust the beginning project balance for any adjustments identified in the district's FY 2025 ending balance. If an amount is zero, enter 0 on that line.</t>
  </si>
  <si>
    <t>Line 5 is optional. Charter schools can use this section to include additional information about its project balances and planned spending. Charters can also use this section to list projects included in restricted and unrestricted lines.</t>
  </si>
  <si>
    <t>Updated the estimated CSP per pupil amount.</t>
  </si>
  <si>
    <t>Added a line for schools to enter FY 2026 beginning project balance adjustments, if any.</t>
  </si>
  <si>
    <t>Increase for State aid supplement (Laws 2026, Ch. 126, §31)</t>
  </si>
  <si>
    <t>Laws 2026, Ch. 126, §31, provides a total State aid supplement of $75,000,000 to school districts and charter schools on a pro rata basis. To estimate the increase in additional funding charters should multiply the school's percentage of State-wide weighted student count as reported on its most recent Classroom Site Project Detail Report by $75,000,000 and enter the amount in cell N103. However, actual amounts will vary. Schools should include these monies in their Schoolwide Project Budget. These monies may be expended for any allowable school purpose. Classroom Site Project Detail Reports can be accessed at https://schoolfinancereports.azed.gov.
ADE will notify schools of the final amounts. Once available, schools can access actual payment amounts at https://www.azed.gov/finance/countyappor.</t>
  </si>
  <si>
    <t>Increase for onetime charter additional assistance (CAA) supplement (Laws 2026, Ch. 126, §31)</t>
  </si>
  <si>
    <t>Laws 2026, Ch. 126, §31, provides a total onetime CAA supplement of $5,858,000. ADE will allocate and distribute the supplement on a proportional basis based on the CAA funding that each charter in this State receives in FY 2027. ADE will calculate the supplement amount for each charter and notify them when complete. This line should be left blank for budget adoption. Charters may revise their budget after notification.</t>
  </si>
  <si>
    <t>Increase for onetime FRPL Group B weight supplement (Laws 2026, Ch. 126, §31)</t>
  </si>
  <si>
    <t>Laws 2026, Ch. 126, §31, provides a total onetime FRPL Group B weight supplement of $37,000,000. ADE will allocate and distribute the supplement on a pro rata basis using the weighted student count for FRPL students for each charter school pursuant to A.R.S. §15-943(2)(b). ADE will calculate the supplement amount for each charter school and notify them when complete. This line should be left blank for budget adoption. Charters may revise their budget after notification.</t>
  </si>
  <si>
    <t>PowerSchool (PowerSchool)</t>
  </si>
  <si>
    <t>QuickBooks</t>
  </si>
  <si>
    <t>Yes</t>
  </si>
  <si>
    <t>Harvest Power Community Development Group</t>
  </si>
  <si>
    <t>86-1015217</t>
  </si>
  <si>
    <t>1748 S Arizona Ave</t>
  </si>
  <si>
    <t>Yuma</t>
  </si>
  <si>
    <t>Arizona</t>
  </si>
  <si>
    <t>Harvest Preparatory Academy</t>
  </si>
  <si>
    <t>148760000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</si>
</sst>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0.0"/>
    <numFmt numFmtId="166" formatCode="0.0%"/>
    <numFmt numFmtId="167" formatCode="mmmm\ d\,\ yyyy"/>
    <numFmt numFmtId="168" formatCode="#,##0.000_);\(#,##0.000\)"/>
    <numFmt numFmtId="169" formatCode="#,##0.000"/>
    <numFmt numFmtId="170" formatCode="0.0000"/>
    <numFmt numFmtId="171" formatCode="#,##0.0000_);\(#,##0.0000\)"/>
    <numFmt numFmtId="172" formatCode="#,##0.0000"/>
    <numFmt numFmtId="173" formatCode="0.00_);[Red]\(0.00\)"/>
    <numFmt numFmtId="174" formatCode="###\-###\-####"/>
    <numFmt numFmtId="175" formatCode="0.000"/>
    <numFmt numFmtId="176" formatCode="0.000_);\(0.000\)"/>
    <numFmt numFmtId="177" formatCode="&quot;$&quot;#,##0.00"/>
    <numFmt numFmtId="178" formatCode="0.0000_);\(0.0000\)"/>
    <numFmt numFmtId="179" formatCode="\(0E+00\);\(\-0E+00\)"/>
  </numFmts>
  <fonts count="49">
    <font>
      <sz val="10"/>
      <name val="Arial"/>
      <family val="2"/>
    </font>
    <font>
      <sz val="11"/>
      <color theme="1"/>
      <name val="Calibri"/>
      <family val="2"/>
      <scheme val="minor"/>
    </font>
    <font>
      <sz val="11"/>
      <color theme="1"/>
      <name val="Calibri"/>
      <family val="2"/>
      <scheme val="minor"/>
    </font>
    <font>
      <b/>
      <sz val="10"/>
      <name val="Arial"/>
      <family val="2"/>
    </font>
    <font>
      <b/>
      <sz val="14"/>
      <name val="Arial"/>
      <family val="2"/>
    </font>
    <font>
      <u/>
      <sz val="9"/>
      <color indexed="12"/>
      <name val="Arial"/>
      <family val="2"/>
    </font>
    <font>
      <sz val="10"/>
      <name val="Times New Roman"/>
      <family val="1"/>
    </font>
    <font>
      <sz val="12"/>
      <name val="Arial"/>
      <family val="2"/>
    </font>
    <font>
      <sz val="10"/>
      <color indexed="12"/>
      <name val="Arial"/>
      <family val="2"/>
    </font>
    <font>
      <b/>
      <sz val="10"/>
      <color indexed="12"/>
      <name val="Arial"/>
      <family val="2"/>
    </font>
    <font>
      <sz val="14"/>
      <name val="Arial"/>
      <family val="2"/>
    </font>
    <font>
      <sz val="10"/>
      <name val="Calibri"/>
      <family val="2"/>
    </font>
    <font>
      <u/>
      <sz val="10"/>
      <color indexed="12"/>
      <name val="Arial"/>
      <family val="2"/>
    </font>
    <font>
      <sz val="9"/>
      <name val="Times New Roman"/>
      <family val="1"/>
    </font>
    <font>
      <sz val="9"/>
      <name val="Arial"/>
      <family val="2"/>
    </font>
    <font>
      <b/>
      <sz val="12"/>
      <name val="Arial"/>
      <family val="2"/>
    </font>
    <font>
      <sz val="10"/>
      <name val="Arial MT"/>
      <family val="2"/>
    </font>
    <font>
      <b/>
      <strike/>
      <sz val="10"/>
      <name val="Arial"/>
      <family val="2"/>
    </font>
    <font>
      <strike/>
      <sz val="10"/>
      <name val="Arial"/>
      <family val="2"/>
    </font>
    <font>
      <b/>
      <strike/>
      <sz val="12"/>
      <name val="Arial"/>
      <family val="2"/>
    </font>
    <font>
      <b/>
      <u/>
      <sz val="10"/>
      <name val="Arial"/>
      <family val="2"/>
    </font>
    <font>
      <b/>
      <u/>
      <sz val="10"/>
      <color indexed="12"/>
      <name val="Arial"/>
      <family val="2"/>
    </font>
    <font>
      <sz val="10"/>
      <color rgb="FF000000"/>
      <name val="Arial"/>
      <family val="2"/>
    </font>
    <font>
      <b/>
      <sz val="10"/>
      <color rgb="FF000000"/>
      <name val="Arial"/>
      <family val="2"/>
    </font>
    <font>
      <sz val="9"/>
      <color rgb="FF0000FF"/>
      <name val="Arial"/>
      <family val="2"/>
    </font>
    <font>
      <b/>
      <sz val="9"/>
      <color rgb="FF0000FF"/>
      <name val="Arial"/>
      <family val="2"/>
    </font>
    <font>
      <sz val="10"/>
      <color rgb="FF0070C0"/>
      <name val="Arial"/>
      <family val="2"/>
    </font>
    <font>
      <sz val="10"/>
      <color rgb="FF0000FF"/>
      <name val="Arial"/>
      <family val="2"/>
    </font>
    <font>
      <b/>
      <sz val="10"/>
      <color rgb="FF0000FF"/>
      <name val="Arial"/>
      <family val="2"/>
    </font>
    <font>
      <b/>
      <sz val="10"/>
      <color rgb="FFFF0000"/>
      <name val="Arial"/>
      <family val="2"/>
    </font>
    <font>
      <b/>
      <sz val="9"/>
      <color rgb="FFFF0000"/>
      <name val="Arial"/>
      <family val="2"/>
    </font>
    <font>
      <sz val="10"/>
      <color theme="0"/>
      <name val="Arial"/>
      <family val="2"/>
    </font>
    <font>
      <sz val="10"/>
      <color theme="10"/>
      <name val="Arial"/>
      <family val="2"/>
    </font>
    <font>
      <sz val="10"/>
      <color rgb="FFFF0000"/>
      <name val="Arial"/>
      <family val="2"/>
    </font>
    <font>
      <b/>
      <sz val="9"/>
      <color rgb="FF00B050"/>
      <name val="Arial"/>
      <family val="2"/>
    </font>
    <font>
      <sz val="10"/>
      <color theme="1"/>
      <name val="Arial"/>
      <family val="2"/>
    </font>
    <font>
      <b/>
      <sz val="10"/>
      <color theme="0"/>
      <name val="Arial"/>
      <family val="2"/>
    </font>
    <font>
      <b/>
      <strike/>
      <sz val="9"/>
      <color rgb="FFFF0000"/>
      <name val="Arial"/>
      <family val="2"/>
    </font>
    <font>
      <u/>
      <sz val="9"/>
      <color rgb="FF0000FF"/>
      <name val="Arial"/>
      <family val="2"/>
    </font>
    <font>
      <strike/>
      <sz val="10"/>
      <color rgb="FFFF0000"/>
      <name val="Arial"/>
      <family val="2"/>
    </font>
    <font>
      <b/>
      <strike/>
      <sz val="10"/>
      <color rgb="FFFF0000"/>
      <name val="Arial"/>
      <family val="2"/>
    </font>
    <font>
      <b/>
      <sz val="12"/>
      <color rgb="FFFF0000"/>
      <name val="Arial"/>
      <family val="2"/>
    </font>
    <font>
      <b/>
      <strike/>
      <sz val="10"/>
      <color rgb="FF0000FF"/>
      <name val="Arial"/>
      <family val="2"/>
    </font>
    <font>
      <b/>
      <strike/>
      <sz val="12"/>
      <color rgb="FFFF0000"/>
      <name val="Arial"/>
      <family val="2"/>
    </font>
    <font>
      <i/>
      <sz val="10"/>
      <name val="Arial"/>
      <family val="2"/>
    </font>
    <font>
      <b/>
      <sz val="10"/>
      <color theme="1"/>
      <name val="Arial"/>
      <family val="2"/>
    </font>
    <font>
      <strike/>
      <sz val="9"/>
      <color rgb="FFFF0000"/>
      <name val="Arial"/>
      <family val="2"/>
    </font>
    <font>
      <u/>
      <sz val="10"/>
      <name val="Arial"/>
      <family val="2"/>
    </font>
    <font>
      <sz val="10"/>
      <name val="Arial"/>
      <family val="2"/>
    </font>
  </fonts>
  <fills count="11">
    <fill>
      <patternFill patternType="none"/>
    </fill>
    <fill>
      <patternFill patternType="gray125"/>
    </fill>
    <fill>
      <patternFill patternType="solid">
        <fgColor indexed="9"/>
        <bgColor indexed="64"/>
      </patternFill>
    </fill>
    <fill>
      <patternFill patternType="solid">
        <fgColor rgb="FFCCFFFF"/>
        <bgColor indexed="64"/>
      </patternFill>
    </fill>
    <fill>
      <patternFill patternType="solid">
        <fgColor theme="0"/>
        <bgColor indexed="64"/>
      </patternFill>
    </fill>
    <fill>
      <patternFill patternType="solid">
        <fgColor indexed="55"/>
        <bgColor indexed="64"/>
      </patternFill>
    </fill>
    <fill>
      <patternFill patternType="solid">
        <fgColor theme="0" tint="-0.24979400006103702"/>
        <bgColor indexed="64"/>
      </patternFill>
    </fill>
    <fill>
      <patternFill patternType="solid">
        <fgColor rgb="FFFFFFCC"/>
        <bgColor indexed="64"/>
      </patternFill>
    </fill>
    <fill>
      <patternFill patternType="solid">
        <fgColor theme="0" tint="-0.1498764000366222"/>
        <bgColor indexed="64"/>
      </patternFill>
    </fill>
    <fill>
      <patternFill patternType="solid">
        <fgColor theme="0" tint="-0.14981536301767021"/>
        <bgColor indexed="64"/>
      </patternFill>
    </fill>
    <fill>
      <patternFill patternType="solid">
        <fgColor theme="0" tint="-0.1498458815271462"/>
        <bgColor indexed="64"/>
      </patternFill>
    </fill>
  </fills>
  <borders count="3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medium">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bottom/>
      <diagonal/>
    </border>
    <border>
      <left/>
      <right style="thin">
        <color auto="1"/>
      </right>
      <top style="double">
        <color auto="1"/>
      </top>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right/>
      <top style="double">
        <color auto="1"/>
      </top>
      <bottom/>
      <diagonal/>
    </border>
    <border>
      <left/>
      <right/>
      <top/>
      <bottom style="medium">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double">
        <color auto="1"/>
      </bottom>
      <diagonal/>
    </border>
    <border>
      <left style="thin">
        <color auto="1"/>
      </left>
      <right style="thin">
        <color auto="1"/>
      </right>
      <top style="double">
        <color auto="1"/>
      </top>
      <bottom/>
      <diagonal/>
    </border>
    <border>
      <left style="thin">
        <color auto="1"/>
      </left>
      <right style="thin">
        <color auto="1"/>
      </right>
      <top style="medium">
        <color auto="1"/>
      </top>
      <bottom style="double">
        <color auto="1"/>
      </bottom>
      <diagonal/>
    </border>
    <border>
      <left/>
      <right/>
      <top style="thin">
        <color auto="1"/>
      </top>
      <bottom/>
      <diagonal/>
    </border>
    <border>
      <left/>
      <right style="thin">
        <color auto="1"/>
      </right>
      <top style="thin">
        <color auto="1"/>
      </top>
      <bottom/>
      <diagonal/>
    </border>
  </borders>
  <cellStyleXfs count="13">
    <xf numFmtId="0" fontId="0" fillId="0" borderId="0"/>
    <xf numFmtId="9" fontId="48" fillId="0" borderId="0" applyFont="0" applyFill="0" applyBorder="0" applyAlignment="0" applyProtection="0"/>
    <xf numFmtId="44" fontId="48" fillId="0" borderId="0" applyFont="0" applyFill="0" applyBorder="0" applyAlignment="0" applyProtection="0"/>
    <xf numFmtId="42" fontId="48" fillId="0" borderId="0" applyFont="0" applyFill="0" applyBorder="0" applyAlignment="0" applyProtection="0"/>
    <xf numFmtId="43" fontId="48" fillId="0" borderId="0" applyFont="0" applyFill="0" applyBorder="0" applyAlignment="0" applyProtection="0"/>
    <xf numFmtId="41" fontId="48" fillId="0" borderId="0" applyFont="0" applyFill="0" applyBorder="0" applyAlignment="0" applyProtection="0"/>
    <xf numFmtId="0" fontId="5" fillId="0" borderId="0" applyNumberFormat="0" applyFill="0" applyBorder="0">
      <protection locked="0"/>
    </xf>
    <xf numFmtId="0" fontId="7" fillId="0" borderId="0" applyFont="0" applyBorder="0"/>
    <xf numFmtId="0" fontId="7" fillId="0" borderId="0" applyFont="0" applyBorder="0"/>
    <xf numFmtId="0" fontId="16" fillId="2" borderId="0"/>
    <xf numFmtId="0" fontId="48" fillId="0" borderId="0"/>
    <xf numFmtId="0" fontId="2" fillId="0" borderId="0"/>
    <xf numFmtId="0" fontId="1" fillId="0" borderId="0"/>
  </cellStyleXfs>
  <cellXfs count="631">
    <xf numFmtId="0" fontId="0" fillId="0" borderId="0" xfId="0"/>
    <xf numFmtId="0" fontId="3"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3" fillId="0" borderId="0" xfId="0" applyFont="1" applyAlignment="1">
      <alignment horizontal="left"/>
    </xf>
    <xf numFmtId="49" fontId="0" fillId="0" borderId="1" xfId="0" applyNumberFormat="1" applyBorder="1" applyAlignment="1" applyProtection="1">
      <alignment horizontal="center"/>
      <protection locked="0"/>
    </xf>
    <xf numFmtId="0" fontId="29" fillId="0" borderId="0" xfId="0" applyFont="1" applyAlignment="1">
      <alignment horizontal="center"/>
    </xf>
    <xf numFmtId="38" fontId="0" fillId="0" borderId="2" xfId="0" applyNumberFormat="1" applyBorder="1" applyProtection="1">
      <protection locked="0"/>
    </xf>
    <xf numFmtId="38" fontId="0" fillId="0" borderId="3" xfId="0" applyNumberFormat="1" applyBorder="1" applyProtection="1">
      <protection locked="0"/>
    </xf>
    <xf numFmtId="38" fontId="0" fillId="0" borderId="2" xfId="0" applyNumberFormat="1" applyBorder="1" applyAlignment="1" applyProtection="1">
      <alignment horizontal="right"/>
      <protection locked="0"/>
    </xf>
    <xf numFmtId="3" fontId="0" fillId="0" borderId="1" xfId="0" applyNumberFormat="1" applyBorder="1" applyProtection="1">
      <protection locked="0"/>
    </xf>
    <xf numFmtId="173" fontId="0" fillId="0" borderId="2" xfId="0" applyNumberFormat="1" applyBorder="1" applyAlignment="1" applyProtection="1">
      <alignment horizontal="right"/>
      <protection locked="0"/>
    </xf>
    <xf numFmtId="173" fontId="0" fillId="0" borderId="3" xfId="0" applyNumberFormat="1" applyBorder="1" applyProtection="1">
      <protection locked="0"/>
    </xf>
    <xf numFmtId="173" fontId="0" fillId="0" borderId="2" xfId="0" applyNumberFormat="1" applyBorder="1" applyProtection="1">
      <protection locked="0"/>
    </xf>
    <xf numFmtId="165" fontId="0" fillId="0" borderId="1" xfId="0" applyNumberFormat="1" applyBorder="1" applyProtection="1">
      <protection locked="0"/>
    </xf>
    <xf numFmtId="38" fontId="0" fillId="0" borderId="4" xfId="0" applyNumberFormat="1" applyBorder="1" applyProtection="1">
      <protection locked="0"/>
    </xf>
    <xf numFmtId="38" fontId="0" fillId="0" borderId="5" xfId="0" applyNumberFormat="1" applyBorder="1" applyProtection="1">
      <protection locked="0"/>
    </xf>
    <xf numFmtId="173" fontId="0" fillId="0" borderId="3" xfId="0" applyNumberFormat="1" applyBorder="1" applyAlignment="1" applyProtection="1">
      <alignment horizontal="right"/>
      <protection locked="0"/>
    </xf>
    <xf numFmtId="38" fontId="0" fillId="0" borderId="3" xfId="0" applyNumberFormat="1" applyBorder="1" applyAlignment="1" applyProtection="1">
      <alignment horizontal="right"/>
      <protection locked="0"/>
    </xf>
    <xf numFmtId="38" fontId="0" fillId="0" borderId="2" xfId="0" applyNumberFormat="1" applyBorder="1" applyAlignment="1" applyProtection="1">
      <alignment vertical="center"/>
      <protection locked="0"/>
    </xf>
    <xf numFmtId="38" fontId="0" fillId="0" borderId="3" xfId="0" applyNumberFormat="1" applyBorder="1" applyAlignment="1" applyProtection="1">
      <alignment vertical="center"/>
      <protection locked="0"/>
    </xf>
    <xf numFmtId="38" fontId="0" fillId="0" borderId="6" xfId="0" applyNumberFormat="1" applyBorder="1" applyAlignment="1" applyProtection="1">
      <alignment vertical="center"/>
      <protection locked="0"/>
    </xf>
    <xf numFmtId="38" fontId="0" fillId="0" borderId="7" xfId="0" applyNumberFormat="1" applyBorder="1" applyProtection="1">
      <protection locked="0"/>
    </xf>
    <xf numFmtId="173" fontId="0" fillId="0" borderId="5" xfId="0" applyNumberFormat="1" applyBorder="1" applyProtection="1">
      <protection locked="0"/>
    </xf>
    <xf numFmtId="38" fontId="0" fillId="0" borderId="8" xfId="0" applyNumberFormat="1" applyBorder="1" applyAlignment="1" applyProtection="1">
      <alignment vertical="center"/>
      <protection locked="0"/>
    </xf>
    <xf numFmtId="165" fontId="0" fillId="0" borderId="9" xfId="0" applyNumberFormat="1" applyBorder="1" applyProtection="1">
      <protection locked="0"/>
    </xf>
    <xf numFmtId="3" fontId="0" fillId="0" borderId="1" xfId="0" quotePrefix="1" applyNumberFormat="1"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2" xfId="8" applyFont="1" applyBorder="1" applyProtection="1">
      <protection locked="0"/>
    </xf>
    <xf numFmtId="39" fontId="0" fillId="0" borderId="1" xfId="0" applyNumberFormat="1" applyBorder="1" applyProtection="1">
      <protection locked="0"/>
    </xf>
    <xf numFmtId="0" fontId="0" fillId="0" borderId="12" xfId="8" applyFont="1" applyBorder="1" applyAlignment="1" applyProtection="1">
      <alignment horizontal="center"/>
      <protection locked="0"/>
    </xf>
    <xf numFmtId="178" fontId="0" fillId="0" borderId="13" xfId="0" applyNumberFormat="1" applyBorder="1" applyProtection="1">
      <protection locked="0"/>
    </xf>
    <xf numFmtId="171" fontId="0" fillId="0" borderId="14" xfId="8" applyNumberFormat="1" applyFont="1" applyBorder="1" applyAlignment="1" applyProtection="1">
      <alignment wrapText="1"/>
      <protection locked="0"/>
    </xf>
    <xf numFmtId="171" fontId="0" fillId="0" borderId="14" xfId="8" applyNumberFormat="1" applyFont="1" applyBorder="1" applyAlignment="1" applyProtection="1">
      <alignment horizontal="right"/>
      <protection locked="0"/>
    </xf>
    <xf numFmtId="0" fontId="3" fillId="0" borderId="0" xfId="8" applyFont="1" applyAlignment="1">
      <alignment horizontal="right"/>
    </xf>
    <xf numFmtId="49" fontId="3" fillId="0" borderId="0" xfId="8" applyNumberFormat="1" applyFont="1" applyAlignment="1">
      <alignment horizontal="center"/>
    </xf>
    <xf numFmtId="0" fontId="14" fillId="0" borderId="0" xfId="8" applyFont="1"/>
    <xf numFmtId="49" fontId="3" fillId="0" borderId="0" xfId="8" applyNumberFormat="1" applyFont="1" applyAlignment="1">
      <alignment horizontal="left"/>
    </xf>
    <xf numFmtId="0" fontId="28" fillId="3" borderId="0" xfId="6" applyFont="1" applyFill="1" applyProtection="1"/>
    <xf numFmtId="0" fontId="9" fillId="3" borderId="0" xfId="6" applyFont="1" applyFill="1" applyAlignment="1" applyProtection="1">
      <alignment horizontal="left"/>
    </xf>
    <xf numFmtId="49" fontId="3" fillId="3" borderId="0" xfId="8" applyNumberFormat="1" applyFont="1" applyFill="1" applyAlignment="1">
      <alignment horizontal="left"/>
    </xf>
    <xf numFmtId="0" fontId="3" fillId="3" borderId="0" xfId="8" applyFont="1" applyFill="1" applyAlignment="1">
      <alignment horizontal="right"/>
    </xf>
    <xf numFmtId="49" fontId="3" fillId="3" borderId="0" xfId="8" applyNumberFormat="1" applyFont="1" applyFill="1" applyAlignment="1">
      <alignment horizontal="center"/>
    </xf>
    <xf numFmtId="0" fontId="0" fillId="0" borderId="15" xfId="0" applyBorder="1" applyAlignment="1">
      <alignment horizontal="left"/>
    </xf>
    <xf numFmtId="0" fontId="0" fillId="0" borderId="16" xfId="0" applyBorder="1" applyAlignment="1">
      <alignment horizontal="left"/>
    </xf>
    <xf numFmtId="49" fontId="3" fillId="0" borderId="16" xfId="8" applyNumberFormat="1" applyFont="1" applyBorder="1" applyAlignment="1">
      <alignment horizontal="left"/>
    </xf>
    <xf numFmtId="0" fontId="3" fillId="0" borderId="16" xfId="8" applyFont="1" applyBorder="1" applyAlignment="1">
      <alignment horizontal="right"/>
    </xf>
    <xf numFmtId="0" fontId="3" fillId="0" borderId="15" xfId="8" applyFont="1" applyBorder="1" applyAlignment="1">
      <alignment horizontal="right"/>
    </xf>
    <xf numFmtId="0" fontId="0" fillId="0" borderId="16" xfId="8" applyFont="1" applyBorder="1" applyAlignment="1">
      <alignment horizontal="center"/>
    </xf>
    <xf numFmtId="49" fontId="3" fillId="0" borderId="16" xfId="8" applyNumberFormat="1" applyFont="1" applyBorder="1" applyAlignment="1">
      <alignment horizontal="center"/>
    </xf>
    <xf numFmtId="49" fontId="0" fillId="0" borderId="17" xfId="8" applyNumberFormat="1" applyFont="1" applyBorder="1" applyAlignment="1">
      <alignment horizontal="center"/>
    </xf>
    <xf numFmtId="0" fontId="0" fillId="0" borderId="18" xfId="0" applyBorder="1"/>
    <xf numFmtId="0" fontId="32" fillId="4" borderId="0" xfId="6" applyFont="1" applyFill="1" applyAlignment="1" applyProtection="1">
      <alignment horizontal="left"/>
    </xf>
    <xf numFmtId="0" fontId="3" fillId="0" borderId="18" xfId="8" applyFont="1" applyBorder="1" applyAlignment="1">
      <alignment horizontal="right"/>
    </xf>
    <xf numFmtId="0" fontId="3" fillId="0" borderId="19" xfId="8" applyFont="1" applyBorder="1" applyAlignment="1">
      <alignment horizontal="right"/>
    </xf>
    <xf numFmtId="0" fontId="12" fillId="0" borderId="20" xfId="6" applyFont="1" applyBorder="1" applyProtection="1"/>
    <xf numFmtId="0" fontId="0" fillId="0" borderId="21" xfId="0" applyBorder="1"/>
    <xf numFmtId="49" fontId="3" fillId="0" borderId="21" xfId="8" applyNumberFormat="1" applyFont="1" applyBorder="1" applyAlignment="1">
      <alignment horizontal="left"/>
    </xf>
    <xf numFmtId="0" fontId="3" fillId="0" borderId="21" xfId="8" applyFont="1" applyBorder="1" applyAlignment="1">
      <alignment horizontal="right"/>
    </xf>
    <xf numFmtId="0" fontId="3" fillId="0" borderId="20" xfId="8" applyFont="1" applyBorder="1" applyAlignment="1">
      <alignment horizontal="right"/>
    </xf>
    <xf numFmtId="170" fontId="0" fillId="0" borderId="21" xfId="0" applyNumberFormat="1" applyBorder="1" applyAlignment="1">
      <alignment horizontal="right"/>
    </xf>
    <xf numFmtId="0" fontId="0" fillId="0" borderId="20" xfId="0" applyBorder="1"/>
    <xf numFmtId="170" fontId="0" fillId="0" borderId="22" xfId="0" applyNumberFormat="1" applyBorder="1"/>
    <xf numFmtId="0" fontId="0" fillId="0" borderId="23" xfId="0" applyBorder="1"/>
    <xf numFmtId="0" fontId="32" fillId="4" borderId="24" xfId="6" applyFont="1" applyFill="1" applyBorder="1" applyAlignment="1" applyProtection="1">
      <alignment horizontal="left"/>
    </xf>
    <xf numFmtId="0" fontId="32" fillId="4" borderId="23" xfId="6" applyFont="1" applyFill="1" applyBorder="1" applyAlignment="1" applyProtection="1">
      <alignment horizontal="left"/>
    </xf>
    <xf numFmtId="170" fontId="0" fillId="0" borderId="0" xfId="0" applyNumberFormat="1" applyAlignment="1">
      <alignment horizontal="left"/>
    </xf>
    <xf numFmtId="170" fontId="0" fillId="0" borderId="13" xfId="0" applyNumberFormat="1" applyBorder="1"/>
    <xf numFmtId="170" fontId="0" fillId="0" borderId="1" xfId="0" applyNumberFormat="1" applyBorder="1"/>
    <xf numFmtId="175" fontId="0" fillId="0" borderId="7" xfId="0" applyNumberFormat="1" applyBorder="1"/>
    <xf numFmtId="170" fontId="0" fillId="0" borderId="5" xfId="0" applyNumberFormat="1" applyBorder="1" applyAlignment="1">
      <alignment horizontal="right"/>
    </xf>
    <xf numFmtId="170" fontId="0" fillId="0" borderId="9" xfId="0" applyNumberFormat="1" applyBorder="1" applyAlignment="1">
      <alignment horizontal="right"/>
    </xf>
    <xf numFmtId="170" fontId="0" fillId="0" borderId="5" xfId="0" applyNumberFormat="1" applyBorder="1"/>
    <xf numFmtId="0" fontId="0" fillId="0" borderId="14" xfId="0" applyBorder="1"/>
    <xf numFmtId="169" fontId="0" fillId="0" borderId="7" xfId="0" applyNumberFormat="1" applyBorder="1"/>
    <xf numFmtId="0" fontId="0" fillId="0" borderId="15" xfId="0" applyBorder="1"/>
    <xf numFmtId="170" fontId="0" fillId="0" borderId="16" xfId="0" applyNumberFormat="1" applyBorder="1" applyAlignment="1">
      <alignment horizontal="right"/>
    </xf>
    <xf numFmtId="170" fontId="0" fillId="0" borderId="17" xfId="0" applyNumberFormat="1" applyBorder="1"/>
    <xf numFmtId="170" fontId="0" fillId="0" borderId="0" xfId="0" applyNumberFormat="1"/>
    <xf numFmtId="170" fontId="0" fillId="0" borderId="1" xfId="0" applyNumberFormat="1" applyBorder="1" applyAlignment="1">
      <alignment horizontal="right"/>
    </xf>
    <xf numFmtId="0" fontId="0" fillId="0" borderId="18" xfId="0" applyBorder="1" applyAlignment="1">
      <alignment horizontal="left"/>
    </xf>
    <xf numFmtId="0" fontId="0" fillId="0" borderId="20" xfId="0" applyBorder="1" applyAlignment="1">
      <alignment horizontal="left"/>
    </xf>
    <xf numFmtId="0" fontId="32" fillId="4" borderId="24" xfId="6" applyFont="1" applyFill="1" applyBorder="1" applyProtection="1"/>
    <xf numFmtId="170" fontId="0" fillId="0" borderId="24" xfId="0" applyNumberFormat="1" applyBorder="1"/>
    <xf numFmtId="0" fontId="27" fillId="0" borderId="20" xfId="0" applyFont="1" applyBorder="1"/>
    <xf numFmtId="0" fontId="27" fillId="0" borderId="0" xfId="0" applyFont="1"/>
    <xf numFmtId="49" fontId="9" fillId="3" borderId="0" xfId="6" applyNumberFormat="1" applyFont="1" applyFill="1" applyAlignment="1" applyProtection="1">
      <alignment horizontal="left"/>
    </xf>
    <xf numFmtId="49" fontId="9" fillId="0" borderId="0" xfId="6" applyNumberFormat="1" applyFont="1" applyFill="1" applyAlignment="1" applyProtection="1">
      <alignment horizontal="center"/>
    </xf>
    <xf numFmtId="49" fontId="3" fillId="0" borderId="15" xfId="8" applyNumberFormat="1" applyFont="1" applyBorder="1" applyAlignment="1">
      <alignment horizontal="center"/>
    </xf>
    <xf numFmtId="0" fontId="0" fillId="0" borderId="13" xfId="0" applyBorder="1"/>
    <xf numFmtId="0" fontId="0" fillId="0" borderId="23" xfId="0" applyBorder="1" applyAlignment="1">
      <alignment horizontal="left"/>
    </xf>
    <xf numFmtId="49" fontId="3" fillId="0" borderId="20" xfId="8" applyNumberFormat="1" applyFont="1" applyBorder="1" applyAlignment="1">
      <alignment horizontal="center"/>
    </xf>
    <xf numFmtId="0" fontId="3" fillId="0" borderId="0" xfId="0" applyFont="1"/>
    <xf numFmtId="170" fontId="0" fillId="0" borderId="1" xfId="0" quotePrefix="1" applyNumberFormat="1" applyBorder="1"/>
    <xf numFmtId="0" fontId="18" fillId="4" borderId="0" xfId="0" applyFont="1" applyFill="1"/>
    <xf numFmtId="0" fontId="39" fillId="4" borderId="0" xfId="0" applyFont="1" applyFill="1"/>
    <xf numFmtId="49" fontId="40" fillId="0" borderId="0" xfId="8" applyNumberFormat="1" applyFont="1" applyAlignment="1">
      <alignment horizontal="left"/>
    </xf>
    <xf numFmtId="0" fontId="40" fillId="0" borderId="0" xfId="8" applyFont="1" applyAlignment="1">
      <alignment horizontal="right"/>
    </xf>
    <xf numFmtId="49" fontId="17" fillId="0" borderId="0" xfId="8" applyNumberFormat="1" applyFont="1" applyAlignment="1">
      <alignment horizontal="center"/>
    </xf>
    <xf numFmtId="164" fontId="3" fillId="0" borderId="0" xfId="8" applyNumberFormat="1" applyFont="1"/>
    <xf numFmtId="0" fontId="34" fillId="0" borderId="0" xfId="8" applyFont="1"/>
    <xf numFmtId="164" fontId="0" fillId="0" borderId="0" xfId="8" applyNumberFormat="1" applyFont="1" applyAlignment="1">
      <alignment horizontal="left" wrapText="1"/>
    </xf>
    <xf numFmtId="4" fontId="0" fillId="0" borderId="0" xfId="0" applyNumberFormat="1"/>
    <xf numFmtId="0" fontId="13" fillId="0" borderId="0" xfId="0" applyFont="1"/>
    <xf numFmtId="0" fontId="0" fillId="0" borderId="3" xfId="0" applyBorder="1" applyAlignment="1">
      <alignment horizontal="center"/>
    </xf>
    <xf numFmtId="0" fontId="0" fillId="0" borderId="18" xfId="0" applyBorder="1" applyAlignment="1">
      <alignment horizontal="center"/>
    </xf>
    <xf numFmtId="168" fontId="0" fillId="0" borderId="0" xfId="8" applyNumberFormat="1" applyFont="1"/>
    <xf numFmtId="168" fontId="0" fillId="0" borderId="14" xfId="8" applyNumberFormat="1" applyFont="1" applyBorder="1"/>
    <xf numFmtId="168" fontId="0" fillId="0" borderId="18" xfId="8" applyNumberFormat="1" applyFont="1" applyBorder="1"/>
    <xf numFmtId="169" fontId="0" fillId="0" borderId="0" xfId="0" applyNumberFormat="1"/>
    <xf numFmtId="0" fontId="0" fillId="0" borderId="0" xfId="6" applyFont="1" applyAlignment="1" applyProtection="1">
      <alignment vertical="top" wrapText="1"/>
    </xf>
    <xf numFmtId="0" fontId="0" fillId="4" borderId="0" xfId="0" applyFill="1" applyAlignment="1">
      <alignment horizontal="center"/>
    </xf>
    <xf numFmtId="39" fontId="0" fillId="0" borderId="1" xfId="2" applyNumberFormat="1" applyFont="1" applyBorder="1" applyProtection="1"/>
    <xf numFmtId="39" fontId="0" fillId="0" borderId="9" xfId="2" applyNumberFormat="1" applyFont="1" applyBorder="1" applyProtection="1"/>
    <xf numFmtId="0" fontId="16" fillId="0" borderId="0" xfId="9" applyFill="1" applyAlignment="1">
      <alignment vertical="center" wrapText="1"/>
    </xf>
    <xf numFmtId="0" fontId="0" fillId="0" borderId="0" xfId="0" applyAlignment="1">
      <alignment vertical="center"/>
    </xf>
    <xf numFmtId="0" fontId="14" fillId="0" borderId="0" xfId="8" applyFont="1" applyAlignment="1">
      <alignment horizontal="right"/>
    </xf>
    <xf numFmtId="39" fontId="14" fillId="0" borderId="0" xfId="8" applyNumberFormat="1" applyFont="1"/>
    <xf numFmtId="39" fontId="0" fillId="0" borderId="0" xfId="2" applyNumberFormat="1" applyFont="1" applyProtection="1"/>
    <xf numFmtId="0" fontId="0" fillId="0" borderId="0" xfId="8" applyFont="1"/>
    <xf numFmtId="0" fontId="0" fillId="0" borderId="0" xfId="8" applyFont="1" applyBorder="1"/>
    <xf numFmtId="0" fontId="0" fillId="0" borderId="0" xfId="0" applyAlignment="1">
      <alignment horizontal="center" vertical="top"/>
    </xf>
    <xf numFmtId="0" fontId="0" fillId="0" borderId="0" xfId="0" applyAlignment="1">
      <alignment horizontal="center" vertical="top" wrapText="1"/>
    </xf>
    <xf numFmtId="0" fontId="22" fillId="0" borderId="0" xfId="0" applyFont="1"/>
    <xf numFmtId="0" fontId="21" fillId="3" borderId="0" xfId="6" applyFont="1" applyFill="1" applyAlignment="1" applyProtection="1">
      <alignment horizontal="right"/>
    </xf>
    <xf numFmtId="0" fontId="28" fillId="0" borderId="0" xfId="6" applyFont="1" applyFill="1" applyProtection="1"/>
    <xf numFmtId="0" fontId="0" fillId="0" borderId="0" xfId="0" applyAlignment="1">
      <alignment horizontal="centerContinuous"/>
    </xf>
    <xf numFmtId="49" fontId="0" fillId="0" borderId="0" xfId="0" applyNumberFormat="1" applyAlignment="1">
      <alignment horizontal="right"/>
    </xf>
    <xf numFmtId="3" fontId="0" fillId="0" borderId="1" xfId="0" applyNumberFormat="1" applyBorder="1"/>
    <xf numFmtId="3" fontId="0" fillId="0" borderId="0" xfId="0" applyNumberFormat="1"/>
    <xf numFmtId="0" fontId="0" fillId="0" borderId="13" xfId="0" applyBorder="1" applyAlignment="1">
      <alignment horizontal="centerContinuous"/>
    </xf>
    <xf numFmtId="49" fontId="0" fillId="0" borderId="0" xfId="0" applyNumberFormat="1" applyAlignment="1">
      <alignment horizontal="center"/>
    </xf>
    <xf numFmtId="0" fontId="8" fillId="0" borderId="0" xfId="6" applyFont="1" applyProtection="1"/>
    <xf numFmtId="0" fontId="30" fillId="0" borderId="0" xfId="0" applyFont="1"/>
    <xf numFmtId="0" fontId="29" fillId="0" borderId="0" xfId="0" applyFont="1"/>
    <xf numFmtId="0" fontId="0" fillId="0" borderId="13" xfId="0" applyBorder="1" applyAlignment="1">
      <alignment horizontal="center"/>
    </xf>
    <xf numFmtId="0" fontId="0" fillId="0" borderId="0" xfId="0" applyAlignment="1">
      <alignment vertical="top" wrapText="1"/>
    </xf>
    <xf numFmtId="0" fontId="0" fillId="0" borderId="0" xfId="0" applyAlignment="1">
      <alignment horizontal="justify" vertical="top" wrapText="1"/>
    </xf>
    <xf numFmtId="0" fontId="0" fillId="0" borderId="0" xfId="0" applyAlignment="1">
      <alignment wrapText="1"/>
    </xf>
    <xf numFmtId="14" fontId="0" fillId="0" borderId="0" xfId="0" applyNumberFormat="1" applyAlignment="1">
      <alignment horizontal="center"/>
    </xf>
    <xf numFmtId="49" fontId="0" fillId="0" borderId="0" xfId="0" applyNumberFormat="1"/>
    <xf numFmtId="49" fontId="0" fillId="0" borderId="0" xfId="0" applyNumberFormat="1" applyAlignment="1">
      <alignment horizontal="left"/>
    </xf>
    <xf numFmtId="0" fontId="0" fillId="0" borderId="0" xfId="0" quotePrefix="1"/>
    <xf numFmtId="0" fontId="0" fillId="0" borderId="0" xfId="0" applyAlignment="1">
      <alignment vertical="top"/>
    </xf>
    <xf numFmtId="0" fontId="3" fillId="0" borderId="0" xfId="0" applyFont="1" applyAlignment="1">
      <alignment wrapText="1"/>
    </xf>
    <xf numFmtId="0" fontId="31" fillId="0" borderId="0" xfId="0" applyFont="1"/>
    <xf numFmtId="166" fontId="0" fillId="0" borderId="9" xfId="0" applyNumberFormat="1" applyBorder="1" applyAlignment="1">
      <alignment horizontal="right" vertical="top"/>
    </xf>
    <xf numFmtId="0" fontId="33" fillId="0" borderId="0" xfId="0" applyFont="1" applyAlignment="1">
      <alignment horizontal="center"/>
    </xf>
    <xf numFmtId="0" fontId="4" fillId="0" borderId="0" xfId="7" applyFont="1" applyAlignment="1">
      <alignment horizontal="center" vertical="top" wrapText="1"/>
    </xf>
    <xf numFmtId="0" fontId="4" fillId="0" borderId="0" xfId="7" applyFont="1" applyAlignment="1">
      <alignment horizontal="center" vertical="top"/>
    </xf>
    <xf numFmtId="0" fontId="27" fillId="0" borderId="0" xfId="6" applyFont="1" applyAlignment="1" applyProtection="1">
      <alignment horizontal="center" vertical="top"/>
    </xf>
    <xf numFmtId="0" fontId="5" fillId="0" borderId="0" xfId="6" applyAlignment="1" applyProtection="1">
      <alignment vertical="top" wrapText="1"/>
    </xf>
    <xf numFmtId="0" fontId="39" fillId="0" borderId="0" xfId="0" applyFont="1" applyAlignment="1">
      <alignment vertical="top" wrapText="1"/>
    </xf>
    <xf numFmtId="49" fontId="0" fillId="0" borderId="0" xfId="8" applyNumberFormat="1" applyFont="1" applyAlignment="1">
      <alignment horizontal="center"/>
    </xf>
    <xf numFmtId="0" fontId="0" fillId="0" borderId="25" xfId="8" applyFont="1" applyBorder="1"/>
    <xf numFmtId="0" fontId="3" fillId="0" borderId="25" xfId="8" applyFont="1" applyBorder="1"/>
    <xf numFmtId="0" fontId="3" fillId="0" borderId="0" xfId="8" applyFont="1" applyAlignment="1">
      <alignment horizontal="center" wrapText="1"/>
    </xf>
    <xf numFmtId="172" fontId="0" fillId="0" borderId="0" xfId="8" applyNumberFormat="1" applyFont="1" applyAlignment="1">
      <alignment horizontal="center"/>
    </xf>
    <xf numFmtId="0" fontId="3" fillId="0" borderId="0" xfId="0" applyFont="1" applyAlignment="1">
      <alignment horizontal="left" vertical="top"/>
    </xf>
    <xf numFmtId="172" fontId="3" fillId="0" borderId="0" xfId="2" applyNumberFormat="1" applyFont="1" applyFill="1" applyAlignment="1" applyProtection="1">
      <alignment horizontal="center" vertical="top" wrapText="1"/>
    </xf>
    <xf numFmtId="172" fontId="3" fillId="0" borderId="0" xfId="8" applyNumberFormat="1" applyFont="1" applyAlignment="1">
      <alignment horizontal="center"/>
    </xf>
    <xf numFmtId="172" fontId="0" fillId="0" borderId="0" xfId="8" applyNumberFormat="1" applyFont="1"/>
    <xf numFmtId="0" fontId="3" fillId="0" borderId="0" xfId="0" applyFont="1" applyAlignment="1">
      <alignment horizontal="left" vertical="top" wrapText="1"/>
    </xf>
    <xf numFmtId="172" fontId="0" fillId="0" borderId="0" xfId="0" applyNumberFormat="1" applyAlignment="1">
      <alignment vertical="top" wrapText="1"/>
    </xf>
    <xf numFmtId="172" fontId="3" fillId="0" borderId="0" xfId="0" applyNumberFormat="1" applyFont="1" applyAlignment="1">
      <alignment vertical="top" wrapText="1"/>
    </xf>
    <xf numFmtId="0" fontId="3" fillId="0" borderId="25" xfId="0" applyFont="1" applyBorder="1" applyAlignment="1">
      <alignment horizontal="left" vertical="top" wrapText="1"/>
    </xf>
    <xf numFmtId="172" fontId="0" fillId="0" borderId="25" xfId="8" applyNumberFormat="1" applyFont="1" applyBorder="1"/>
    <xf numFmtId="172" fontId="0" fillId="0" borderId="25" xfId="8" applyNumberFormat="1" applyFont="1" applyBorder="1" applyAlignment="1">
      <alignment horizontal="center"/>
    </xf>
    <xf numFmtId="172" fontId="3" fillId="0" borderId="25" xfId="8" applyNumberFormat="1" applyFont="1" applyBorder="1" applyAlignment="1">
      <alignment horizontal="center"/>
    </xf>
    <xf numFmtId="0" fontId="3" fillId="0" borderId="0" xfId="8" applyFont="1" applyBorder="1" applyAlignment="1">
      <alignment horizontal="center" vertical="center"/>
    </xf>
    <xf numFmtId="0" fontId="3" fillId="0" borderId="0" xfId="8" applyFont="1" applyAlignment="1">
      <alignment horizontal="center" vertical="center" wrapText="1"/>
    </xf>
    <xf numFmtId="0" fontId="0" fillId="0" borderId="0" xfId="8" applyFont="1" applyAlignment="1">
      <alignment horizontal="center"/>
    </xf>
    <xf numFmtId="0" fontId="3" fillId="0" borderId="0" xfId="0" applyFont="1" applyAlignment="1">
      <alignment vertical="top"/>
    </xf>
    <xf numFmtId="172" fontId="3" fillId="0" borderId="0" xfId="0" applyNumberFormat="1" applyFont="1" applyAlignment="1">
      <alignment horizontal="center" wrapText="1"/>
    </xf>
    <xf numFmtId="0" fontId="3" fillId="0" borderId="0" xfId="0" applyFont="1" applyAlignment="1">
      <alignment vertical="top" wrapText="1"/>
    </xf>
    <xf numFmtId="172" fontId="3" fillId="0" borderId="0" xfId="8" applyNumberFormat="1" applyFont="1" applyBorder="1" applyAlignment="1">
      <alignment horizontal="center"/>
    </xf>
    <xf numFmtId="170" fontId="0" fillId="0" borderId="0" xfId="8" applyNumberFormat="1" applyFont="1" applyBorder="1"/>
    <xf numFmtId="0" fontId="0" fillId="0" borderId="0" xfId="0" applyAlignment="1">
      <alignment vertical="center" wrapText="1"/>
    </xf>
    <xf numFmtId="171" fontId="0" fillId="0" borderId="0" xfId="8" applyNumberFormat="1" applyFont="1" applyAlignment="1">
      <alignment horizontal="left"/>
    </xf>
    <xf numFmtId="172" fontId="0" fillId="0" borderId="0" xfId="8" applyNumberFormat="1" applyFont="1" applyAlignment="1">
      <alignment horizontal="right"/>
    </xf>
    <xf numFmtId="0" fontId="3" fillId="0" borderId="0" xfId="0" applyFont="1" applyAlignment="1">
      <alignment vertical="center" wrapText="1"/>
    </xf>
    <xf numFmtId="177" fontId="0" fillId="0" borderId="0" xfId="8" applyNumberFormat="1" applyFont="1"/>
    <xf numFmtId="171" fontId="3" fillId="0" borderId="0" xfId="8" applyNumberFormat="1" applyFont="1" applyAlignment="1">
      <alignment horizontal="left"/>
    </xf>
    <xf numFmtId="177" fontId="0" fillId="0" borderId="0" xfId="8" applyNumberFormat="1" applyFont="1" applyAlignment="1">
      <alignment horizontal="left"/>
    </xf>
    <xf numFmtId="177" fontId="3" fillId="0" borderId="0" xfId="8" applyNumberFormat="1" applyFont="1" applyAlignment="1">
      <alignment horizontal="left"/>
    </xf>
    <xf numFmtId="2" fontId="3" fillId="0" borderId="0" xfId="8" applyNumberFormat="1" applyFont="1"/>
    <xf numFmtId="0" fontId="3" fillId="0" borderId="25" xfId="0" applyFont="1" applyBorder="1" applyAlignment="1">
      <alignment horizontal="center" vertical="top" wrapText="1"/>
    </xf>
    <xf numFmtId="172" fontId="0" fillId="0" borderId="0" xfId="8" applyNumberFormat="1" applyFont="1" applyAlignment="1">
      <alignment horizontal="left"/>
    </xf>
    <xf numFmtId="0" fontId="31" fillId="4" borderId="0" xfId="0" applyFont="1" applyFill="1"/>
    <xf numFmtId="0" fontId="33" fillId="0" borderId="0" xfId="0" applyFont="1"/>
    <xf numFmtId="0" fontId="0" fillId="0" borderId="1" xfId="0" applyBorder="1" applyAlignment="1">
      <alignment horizontal="centerContinuous"/>
    </xf>
    <xf numFmtId="0" fontId="26" fillId="0" borderId="0" xfId="0" applyFont="1"/>
    <xf numFmtId="0" fontId="0" fillId="0" borderId="26" xfId="0" applyBorder="1" applyAlignment="1">
      <alignment horizontal="center"/>
    </xf>
    <xf numFmtId="0" fontId="0" fillId="0" borderId="14" xfId="0" applyBorder="1" applyAlignment="1">
      <alignment horizontal="centerContinuous"/>
    </xf>
    <xf numFmtId="0" fontId="0" fillId="0" borderId="27" xfId="0" applyBorder="1" applyAlignment="1">
      <alignment horizontal="centerContinuous"/>
    </xf>
    <xf numFmtId="0" fontId="0" fillId="0" borderId="28" xfId="0" applyBorder="1" applyAlignment="1">
      <alignment horizontal="center"/>
    </xf>
    <xf numFmtId="0" fontId="0" fillId="0" borderId="26" xfId="0" applyBorder="1"/>
    <xf numFmtId="0" fontId="27" fillId="3" borderId="26" xfId="6" applyFont="1" applyFill="1" applyBorder="1" applyAlignment="1" applyProtection="1">
      <alignment horizontal="center"/>
    </xf>
    <xf numFmtId="0" fontId="3" fillId="0" borderId="1" xfId="0" applyFont="1" applyBorder="1"/>
    <xf numFmtId="0" fontId="0" fillId="0" borderId="2" xfId="0" applyBorder="1" applyAlignment="1">
      <alignment horizontal="center"/>
    </xf>
    <xf numFmtId="38" fontId="0" fillId="0" borderId="8" xfId="0" applyNumberFormat="1" applyBorder="1"/>
    <xf numFmtId="38" fontId="0" fillId="0" borderId="28" xfId="0" applyNumberFormat="1" applyBorder="1"/>
    <xf numFmtId="0" fontId="0" fillId="0" borderId="28" xfId="0" applyBorder="1"/>
    <xf numFmtId="0" fontId="0" fillId="0" borderId="8" xfId="0" applyBorder="1"/>
    <xf numFmtId="38" fontId="0" fillId="0" borderId="2" xfId="0" applyNumberFormat="1" applyBorder="1"/>
    <xf numFmtId="38" fontId="0" fillId="0" borderId="7" xfId="0" applyNumberFormat="1" applyBorder="1"/>
    <xf numFmtId="38" fontId="0" fillId="0" borderId="18" xfId="0" applyNumberFormat="1" applyBorder="1"/>
    <xf numFmtId="166" fontId="0" fillId="0" borderId="26" xfId="0" applyNumberFormat="1" applyBorder="1"/>
    <xf numFmtId="164" fontId="0" fillId="0" borderId="0" xfId="0" applyNumberFormat="1" applyAlignment="1">
      <alignment horizontal="left"/>
    </xf>
    <xf numFmtId="166" fontId="0" fillId="0" borderId="2" xfId="0" applyNumberFormat="1" applyBorder="1"/>
    <xf numFmtId="164" fontId="0" fillId="0" borderId="18" xfId="0" applyNumberFormat="1" applyBorder="1" applyAlignment="1">
      <alignment horizontal="left"/>
    </xf>
    <xf numFmtId="38" fontId="0" fillId="0" borderId="3" xfId="0" applyNumberFormat="1" applyBorder="1"/>
    <xf numFmtId="164" fontId="0" fillId="0" borderId="13" xfId="0" applyNumberFormat="1" applyBorder="1"/>
    <xf numFmtId="38" fontId="0" fillId="0" borderId="5" xfId="0" applyNumberFormat="1" applyBorder="1"/>
    <xf numFmtId="164" fontId="0" fillId="0" borderId="5" xfId="0" applyNumberFormat="1" applyBorder="1"/>
    <xf numFmtId="38" fontId="0" fillId="0" borderId="26" xfId="0" applyNumberFormat="1" applyBorder="1"/>
    <xf numFmtId="166" fontId="0" fillId="0" borderId="13" xfId="0" applyNumberFormat="1" applyBorder="1"/>
    <xf numFmtId="166" fontId="0" fillId="0" borderId="3" xfId="0" applyNumberFormat="1" applyBorder="1"/>
    <xf numFmtId="38" fontId="0" fillId="0" borderId="0" xfId="0" applyNumberFormat="1"/>
    <xf numFmtId="166" fontId="0" fillId="0" borderId="0" xfId="0" applyNumberFormat="1"/>
    <xf numFmtId="164" fontId="0" fillId="0" borderId="1" xfId="0" applyNumberFormat="1" applyBorder="1"/>
    <xf numFmtId="0" fontId="27" fillId="3" borderId="1" xfId="6" applyFont="1" applyFill="1" applyBorder="1" applyProtection="1"/>
    <xf numFmtId="0" fontId="24" fillId="3" borderId="1" xfId="6" applyFont="1" applyFill="1" applyBorder="1" applyProtection="1"/>
    <xf numFmtId="38" fontId="0" fillId="5" borderId="2" xfId="0" applyNumberFormat="1" applyFill="1" applyBorder="1"/>
    <xf numFmtId="0" fontId="0" fillId="0" borderId="9" xfId="0" applyBorder="1"/>
    <xf numFmtId="3" fontId="0" fillId="0" borderId="2" xfId="0" applyNumberFormat="1" applyBorder="1"/>
    <xf numFmtId="37" fontId="0" fillId="0" borderId="2" xfId="0" applyNumberFormat="1" applyBorder="1"/>
    <xf numFmtId="0" fontId="3" fillId="0" borderId="0" xfId="0" applyFont="1" applyAlignment="1">
      <alignment horizontal="centerContinuous"/>
    </xf>
    <xf numFmtId="0" fontId="25" fillId="0" borderId="0" xfId="6" applyFont="1" applyAlignment="1" applyProtection="1">
      <alignment horizontal="centerContinuous"/>
    </xf>
    <xf numFmtId="0" fontId="24" fillId="0" borderId="0" xfId="6" applyFont="1" applyAlignment="1" applyProtection="1">
      <alignment horizontal="centerContinuous"/>
    </xf>
    <xf numFmtId="0" fontId="9" fillId="3" borderId="0" xfId="6" applyFont="1" applyFill="1" applyAlignment="1" applyProtection="1">
      <alignment horizontal="centerContinuous"/>
    </xf>
    <xf numFmtId="0" fontId="25" fillId="3" borderId="0" xfId="6" applyFont="1" applyFill="1" applyAlignment="1" applyProtection="1">
      <alignment horizontal="centerContinuous"/>
    </xf>
    <xf numFmtId="164" fontId="0" fillId="0" borderId="0" xfId="0" applyNumberFormat="1" applyAlignment="1">
      <alignment horizontal="right" vertical="center"/>
    </xf>
    <xf numFmtId="38" fontId="0" fillId="0" borderId="2" xfId="0" applyNumberFormat="1" applyBorder="1" applyAlignment="1">
      <alignment vertical="center"/>
    </xf>
    <xf numFmtId="164" fontId="0" fillId="0" borderId="0" xfId="0" applyNumberFormat="1" applyAlignment="1">
      <alignment vertical="center"/>
    </xf>
    <xf numFmtId="0" fontId="27" fillId="3" borderId="0" xfId="6" applyFont="1" applyFill="1" applyAlignment="1" applyProtection="1">
      <alignment vertical="center"/>
    </xf>
    <xf numFmtId="0" fontId="0" fillId="3" borderId="0" xfId="0" applyFill="1" applyAlignment="1">
      <alignment vertical="center"/>
    </xf>
    <xf numFmtId="38" fontId="0" fillId="0" borderId="3" xfId="0" applyNumberFormat="1" applyBorder="1" applyAlignment="1">
      <alignment vertical="center"/>
    </xf>
    <xf numFmtId="38" fontId="0" fillId="0" borderId="0" xfId="0" applyNumberFormat="1" applyAlignment="1">
      <alignment vertical="center"/>
    </xf>
    <xf numFmtId="38" fontId="0" fillId="0" borderId="0" xfId="0" applyNumberFormat="1" applyAlignment="1">
      <alignment vertical="center" readingOrder="1"/>
    </xf>
    <xf numFmtId="38" fontId="0" fillId="0" borderId="8" xfId="0" applyNumberFormat="1" applyBorder="1" applyAlignment="1">
      <alignment vertical="center"/>
    </xf>
    <xf numFmtId="0" fontId="27" fillId="3" borderId="0" xfId="6" applyFont="1" applyFill="1" applyProtection="1"/>
    <xf numFmtId="38" fontId="0" fillId="0" borderId="6" xfId="0" applyNumberFormat="1" applyBorder="1" applyAlignment="1">
      <alignment vertical="center"/>
    </xf>
    <xf numFmtId="38" fontId="0" fillId="0" borderId="29" xfId="0" applyNumberFormat="1" applyBorder="1" applyAlignment="1">
      <alignment vertical="center"/>
    </xf>
    <xf numFmtId="0" fontId="27" fillId="0" borderId="0" xfId="6" applyFont="1" applyAlignment="1" applyProtection="1">
      <alignment vertical="center"/>
    </xf>
    <xf numFmtId="0" fontId="3" fillId="0" borderId="0" xfId="0" applyFont="1" applyAlignment="1">
      <alignment vertical="center"/>
    </xf>
    <xf numFmtId="38" fontId="0" fillId="0" borderId="30" xfId="0" applyNumberFormat="1" applyBorder="1"/>
    <xf numFmtId="38" fontId="0" fillId="3" borderId="0" xfId="0" applyNumberFormat="1" applyFill="1" applyAlignment="1">
      <alignment vertical="center"/>
    </xf>
    <xf numFmtId="0" fontId="12" fillId="3" borderId="0" xfId="6" applyFont="1" applyFill="1" applyAlignment="1" applyProtection="1">
      <alignment horizontal="centerContinuous"/>
    </xf>
    <xf numFmtId="165" fontId="0" fillId="0" borderId="0" xfId="0" applyNumberFormat="1"/>
    <xf numFmtId="0" fontId="28" fillId="3" borderId="0" xfId="6" applyFont="1" applyFill="1" applyAlignment="1" applyProtection="1">
      <alignment horizontal="left" vertical="center"/>
    </xf>
    <xf numFmtId="0" fontId="30" fillId="3" borderId="0" xfId="6" applyFont="1" applyFill="1" applyProtection="1"/>
    <xf numFmtId="0" fontId="37" fillId="3" borderId="0" xfId="6" applyFont="1" applyFill="1" applyProtection="1"/>
    <xf numFmtId="0" fontId="25" fillId="3" borderId="0" xfId="6" applyFont="1" applyFill="1" applyProtection="1"/>
    <xf numFmtId="0" fontId="38" fillId="3" borderId="0" xfId="6" applyFont="1" applyFill="1" applyAlignment="1" applyProtection="1">
      <alignment vertical="center"/>
    </xf>
    <xf numFmtId="0" fontId="25" fillId="0" borderId="0" xfId="6" applyFont="1" applyProtection="1"/>
    <xf numFmtId="38" fontId="0" fillId="0" borderId="31" xfId="0" applyNumberFormat="1" applyBorder="1" applyAlignment="1">
      <alignment vertical="center"/>
    </xf>
    <xf numFmtId="0" fontId="28" fillId="3" borderId="0" xfId="6" applyFont="1" applyFill="1" applyAlignment="1" applyProtection="1">
      <alignment vertical="center"/>
    </xf>
    <xf numFmtId="164" fontId="33" fillId="0" borderId="0" xfId="0" applyNumberFormat="1" applyFont="1" applyAlignment="1">
      <alignment horizontal="right" vertical="center"/>
    </xf>
    <xf numFmtId="0" fontId="3" fillId="0" borderId="0" xfId="6" applyFont="1" applyAlignment="1" applyProtection="1">
      <alignment horizontal="centerContinuous" vertical="center"/>
    </xf>
    <xf numFmtId="0" fontId="28" fillId="3" borderId="0" xfId="6" applyFont="1" applyFill="1" applyAlignment="1" applyProtection="1">
      <alignment horizontal="centerContinuous" vertical="center"/>
    </xf>
    <xf numFmtId="164" fontId="0" fillId="0" borderId="0" xfId="0" quotePrefix="1" applyNumberFormat="1" applyAlignment="1">
      <alignment horizontal="right" vertical="center"/>
    </xf>
    <xf numFmtId="38" fontId="0" fillId="0" borderId="4" xfId="0" applyNumberFormat="1" applyBorder="1"/>
    <xf numFmtId="164" fontId="0" fillId="0" borderId="0" xfId="0" applyNumberFormat="1" applyAlignment="1">
      <alignment vertical="top"/>
    </xf>
    <xf numFmtId="0" fontId="3" fillId="0" borderId="28" xfId="0" applyFont="1" applyBorder="1" applyAlignment="1">
      <alignment horizontal="left"/>
    </xf>
    <xf numFmtId="0" fontId="0" fillId="0" borderId="32" xfId="0" applyBorder="1" applyAlignment="1">
      <alignment horizontal="centerContinuous"/>
    </xf>
    <xf numFmtId="0" fontId="0" fillId="0" borderId="33" xfId="0" applyBorder="1" applyAlignment="1">
      <alignment horizontal="centerContinuous"/>
    </xf>
    <xf numFmtId="0" fontId="0" fillId="0" borderId="8" xfId="0" applyBorder="1" applyAlignment="1">
      <alignment horizontal="centerContinuous"/>
    </xf>
    <xf numFmtId="0" fontId="0" fillId="0" borderId="8" xfId="0" applyBorder="1" applyAlignment="1">
      <alignment horizontal="center" wrapText="1"/>
    </xf>
    <xf numFmtId="0" fontId="0" fillId="0" borderId="8" xfId="0" applyBorder="1" applyAlignment="1">
      <alignment horizontal="center"/>
    </xf>
    <xf numFmtId="0" fontId="3" fillId="0" borderId="18" xfId="0" applyFont="1" applyBorder="1"/>
    <xf numFmtId="0" fontId="0" fillId="0" borderId="26" xfId="0" applyBorder="1" applyAlignment="1">
      <alignment horizontal="center" wrapText="1"/>
    </xf>
    <xf numFmtId="0" fontId="0" fillId="0" borderId="7" xfId="0" applyBorder="1" applyAlignment="1">
      <alignment horizontal="center"/>
    </xf>
    <xf numFmtId="0" fontId="27" fillId="3" borderId="18" xfId="6" applyFont="1" applyFill="1" applyBorder="1" applyProtection="1"/>
    <xf numFmtId="0" fontId="24" fillId="3" borderId="0" xfId="6" applyFont="1" applyFill="1" applyProtection="1"/>
    <xf numFmtId="38" fontId="0" fillId="0" borderId="33" xfId="0" applyNumberFormat="1" applyBorder="1"/>
    <xf numFmtId="0" fontId="0" fillId="0" borderId="0" xfId="0" applyAlignment="1">
      <alignment horizontal="justify" wrapText="1"/>
    </xf>
    <xf numFmtId="0" fontId="6" fillId="0" borderId="0" xfId="0" applyFont="1" applyAlignment="1">
      <alignment horizontal="justify" wrapText="1"/>
    </xf>
    <xf numFmtId="164" fontId="0" fillId="0" borderId="27" xfId="0" applyNumberFormat="1" applyBorder="1"/>
    <xf numFmtId="38" fontId="0" fillId="0" borderId="14" xfId="0" applyNumberFormat="1" applyBorder="1" applyAlignment="1">
      <alignment horizontal="right"/>
    </xf>
    <xf numFmtId="38" fontId="0" fillId="0" borderId="3" xfId="0" applyNumberFormat="1" applyBorder="1" applyAlignment="1">
      <alignment horizontal="right"/>
    </xf>
    <xf numFmtId="0" fontId="5" fillId="3" borderId="0" xfId="6" applyFill="1" applyProtection="1"/>
    <xf numFmtId="0" fontId="26" fillId="0" borderId="0" xfId="0" applyFont="1" applyAlignment="1">
      <alignment horizontal="centerContinuous"/>
    </xf>
    <xf numFmtId="0" fontId="3" fillId="0" borderId="28" xfId="0" applyFont="1" applyBorder="1"/>
    <xf numFmtId="0" fontId="0" fillId="0" borderId="32" xfId="0" applyBorder="1"/>
    <xf numFmtId="0" fontId="0" fillId="0" borderId="33" xfId="0" applyBorder="1"/>
    <xf numFmtId="0" fontId="0" fillId="0" borderId="28" xfId="0" applyBorder="1" applyAlignment="1">
      <alignment horizontal="centerContinuous"/>
    </xf>
    <xf numFmtId="0" fontId="0" fillId="0" borderId="7" xfId="0" applyBorder="1" applyAlignment="1">
      <alignment horizontal="centerContinuous"/>
    </xf>
    <xf numFmtId="0" fontId="0" fillId="0" borderId="5" xfId="0" applyBorder="1" applyAlignment="1">
      <alignment horizontal="centerContinuous"/>
    </xf>
    <xf numFmtId="0" fontId="3" fillId="0" borderId="7" xfId="0" applyFont="1" applyBorder="1"/>
    <xf numFmtId="0" fontId="27" fillId="3" borderId="28" xfId="6" applyFont="1" applyFill="1" applyBorder="1" applyProtection="1"/>
    <xf numFmtId="0" fontId="5" fillId="3" borderId="32" xfId="6" applyFill="1" applyBorder="1" applyProtection="1"/>
    <xf numFmtId="164" fontId="5" fillId="0" borderId="32" xfId="6" applyNumberFormat="1" applyBorder="1" applyProtection="1"/>
    <xf numFmtId="0" fontId="5" fillId="0" borderId="8" xfId="6" applyBorder="1" applyProtection="1"/>
    <xf numFmtId="173" fontId="0" fillId="0" borderId="33" xfId="0" applyNumberFormat="1" applyBorder="1"/>
    <xf numFmtId="173" fontId="0" fillId="0" borderId="26" xfId="0" applyNumberFormat="1" applyBorder="1"/>
    <xf numFmtId="173" fontId="0" fillId="0" borderId="13" xfId="0" applyNumberFormat="1" applyBorder="1"/>
    <xf numFmtId="173" fontId="0" fillId="0" borderId="2" xfId="0" applyNumberFormat="1" applyBorder="1"/>
    <xf numFmtId="38" fontId="0" fillId="0" borderId="2" xfId="0" applyNumberFormat="1" applyBorder="1" applyAlignment="1">
      <alignment horizontal="right"/>
    </xf>
    <xf numFmtId="166" fontId="0" fillId="0" borderId="2" xfId="1" applyNumberFormat="1" applyFont="1" applyBorder="1" applyAlignment="1" applyProtection="1">
      <alignment horizontal="right"/>
    </xf>
    <xf numFmtId="173" fontId="0" fillId="0" borderId="3" xfId="0" applyNumberFormat="1" applyBorder="1"/>
    <xf numFmtId="166" fontId="0" fillId="0" borderId="3" xfId="1" applyNumberFormat="1" applyFont="1" applyBorder="1" applyAlignment="1" applyProtection="1">
      <alignment horizontal="right"/>
    </xf>
    <xf numFmtId="166" fontId="0" fillId="0" borderId="8" xfId="1" applyNumberFormat="1" applyFont="1" applyBorder="1" applyAlignment="1" applyProtection="1">
      <alignment horizontal="right"/>
    </xf>
    <xf numFmtId="0" fontId="24" fillId="3" borderId="32" xfId="6" applyFont="1" applyFill="1" applyBorder="1" applyProtection="1"/>
    <xf numFmtId="164" fontId="0" fillId="0" borderId="32" xfId="0" applyNumberFormat="1" applyBorder="1"/>
    <xf numFmtId="49" fontId="22" fillId="0" borderId="1" xfId="0" applyNumberFormat="1" applyFont="1" applyBorder="1"/>
    <xf numFmtId="0" fontId="22" fillId="0" borderId="32" xfId="0" applyFont="1" applyBorder="1"/>
    <xf numFmtId="0" fontId="22" fillId="0" borderId="8" xfId="0" applyFont="1" applyBorder="1" applyAlignment="1">
      <alignment horizontal="center"/>
    </xf>
    <xf numFmtId="0" fontId="22" fillId="0" borderId="18" xfId="0" applyFont="1" applyBorder="1"/>
    <xf numFmtId="0" fontId="22" fillId="0" borderId="13" xfId="0" applyFont="1" applyBorder="1" applyAlignment="1">
      <alignment horizontal="center"/>
    </xf>
    <xf numFmtId="0" fontId="22" fillId="0" borderId="5" xfId="0" applyFont="1" applyBorder="1" applyAlignment="1">
      <alignment horizontal="center"/>
    </xf>
    <xf numFmtId="38" fontId="22" fillId="0" borderId="2" xfId="0" applyNumberFormat="1" applyFont="1" applyBorder="1"/>
    <xf numFmtId="166" fontId="0" fillId="0" borderId="8" xfId="0" applyNumberFormat="1" applyBorder="1"/>
    <xf numFmtId="0" fontId="22" fillId="0" borderId="8" xfId="0" applyFont="1" applyBorder="1"/>
    <xf numFmtId="0" fontId="22" fillId="0" borderId="28" xfId="0" applyFont="1" applyBorder="1"/>
    <xf numFmtId="38" fontId="22" fillId="0" borderId="7" xfId="0" applyNumberFormat="1" applyFont="1" applyBorder="1"/>
    <xf numFmtId="0" fontId="22" fillId="0" borderId="0" xfId="0" applyFont="1" applyAlignment="1">
      <alignment vertical="center" wrapText="1"/>
    </xf>
    <xf numFmtId="38" fontId="22" fillId="0" borderId="3" xfId="0" applyNumberFormat="1" applyFont="1" applyBorder="1"/>
    <xf numFmtId="0" fontId="22" fillId="0" borderId="33" xfId="0" applyFont="1" applyBorder="1"/>
    <xf numFmtId="0" fontId="3" fillId="0" borderId="18" xfId="0" applyFont="1" applyBorder="1" applyAlignment="1">
      <alignment horizontal="left"/>
    </xf>
    <xf numFmtId="0" fontId="23" fillId="0" borderId="0" xfId="0" applyFont="1" applyAlignment="1">
      <alignment horizontal="left"/>
    </xf>
    <xf numFmtId="0" fontId="22" fillId="0" borderId="13" xfId="0" applyFont="1" applyBorder="1"/>
    <xf numFmtId="0" fontId="23" fillId="0" borderId="7" xfId="0" applyFont="1" applyBorder="1" applyAlignment="1">
      <alignment horizontal="left"/>
    </xf>
    <xf numFmtId="0" fontId="23" fillId="0" borderId="1" xfId="0" applyFont="1" applyBorder="1" applyAlignment="1">
      <alignment horizontal="left"/>
    </xf>
    <xf numFmtId="0" fontId="22" fillId="0" borderId="5" xfId="0" applyFont="1" applyBorder="1"/>
    <xf numFmtId="38" fontId="22" fillId="0" borderId="8" xfId="0" applyNumberFormat="1" applyFont="1" applyBorder="1"/>
    <xf numFmtId="0" fontId="22" fillId="0" borderId="0" xfId="0" applyFont="1" applyAlignment="1">
      <alignment horizontal="left"/>
    </xf>
    <xf numFmtId="38" fontId="22" fillId="0" borderId="0" xfId="0" applyNumberFormat="1" applyFont="1"/>
    <xf numFmtId="0" fontId="22" fillId="0" borderId="7" xfId="0" applyFont="1" applyBorder="1"/>
    <xf numFmtId="0" fontId="22" fillId="0" borderId="1" xfId="0" applyFont="1" applyBorder="1"/>
    <xf numFmtId="38" fontId="22" fillId="0" borderId="26" xfId="0" applyNumberFormat="1" applyFont="1" applyBorder="1"/>
    <xf numFmtId="38" fontId="22" fillId="0" borderId="18" xfId="0" applyNumberFormat="1" applyFont="1" applyBorder="1"/>
    <xf numFmtId="0" fontId="23" fillId="0" borderId="18" xfId="0" applyFont="1" applyBorder="1"/>
    <xf numFmtId="0" fontId="22" fillId="0" borderId="14" xfId="0" applyFont="1" applyBorder="1"/>
    <xf numFmtId="0" fontId="22" fillId="0" borderId="9" xfId="0" applyFont="1" applyBorder="1"/>
    <xf numFmtId="0" fontId="29" fillId="0" borderId="0" xfId="0" applyFont="1" applyAlignment="1">
      <alignment vertical="top" wrapText="1"/>
    </xf>
    <xf numFmtId="0" fontId="22" fillId="0" borderId="0" xfId="0" applyFont="1" applyAlignment="1">
      <alignment horizontal="center"/>
    </xf>
    <xf numFmtId="0" fontId="22" fillId="0" borderId="27" xfId="0" applyFont="1" applyBorder="1"/>
    <xf numFmtId="0" fontId="22" fillId="0" borderId="0" xfId="0" applyFont="1" applyAlignment="1">
      <alignment vertical="top"/>
    </xf>
    <xf numFmtId="0" fontId="22" fillId="0" borderId="0" xfId="0" applyFont="1" applyAlignment="1">
      <alignment horizontal="right"/>
    </xf>
    <xf numFmtId="0" fontId="35" fillId="0" borderId="0" xfId="0" applyFont="1"/>
    <xf numFmtId="0" fontId="35" fillId="0" borderId="1" xfId="0" applyFont="1" applyBorder="1" applyAlignment="1">
      <alignment horizontal="left"/>
    </xf>
    <xf numFmtId="0" fontId="35" fillId="0" borderId="0" xfId="0" applyFont="1" applyAlignment="1">
      <alignment horizontal="left"/>
    </xf>
    <xf numFmtId="0" fontId="15" fillId="0" borderId="0" xfId="0" applyFont="1" applyAlignment="1">
      <alignment horizontal="left"/>
    </xf>
    <xf numFmtId="0" fontId="36" fillId="0" borderId="0" xfId="0" applyFont="1" applyAlignment="1">
      <alignment horizontal="center" vertical="top"/>
    </xf>
    <xf numFmtId="0" fontId="35" fillId="0" borderId="0" xfId="0" applyFont="1" applyAlignment="1">
      <alignment vertical="top"/>
    </xf>
    <xf numFmtId="176" fontId="0" fillId="0" borderId="7" xfId="0" applyNumberFormat="1" applyBorder="1" applyAlignment="1">
      <alignment horizontal="right"/>
    </xf>
    <xf numFmtId="0" fontId="0" fillId="6" borderId="7" xfId="0" applyFill="1" applyBorder="1" applyAlignment="1">
      <alignment horizontal="center"/>
    </xf>
    <xf numFmtId="0" fontId="0" fillId="6" borderId="27" xfId="0" applyFill="1" applyBorder="1" applyAlignment="1">
      <alignment horizontal="center"/>
    </xf>
    <xf numFmtId="0" fontId="0" fillId="4" borderId="14" xfId="0" applyFill="1" applyBorder="1" applyAlignment="1">
      <alignment horizontal="center"/>
    </xf>
    <xf numFmtId="178" fontId="0" fillId="0" borderId="5" xfId="0" applyNumberFormat="1" applyBorder="1"/>
    <xf numFmtId="0" fontId="9" fillId="0" borderId="0" xfId="6" applyFont="1" applyProtection="1"/>
    <xf numFmtId="0" fontId="5" fillId="0" borderId="0" xfId="6" applyProtection="1"/>
    <xf numFmtId="0" fontId="0" fillId="0" borderId="27" xfId="0" applyBorder="1"/>
    <xf numFmtId="0" fontId="31" fillId="4" borderId="14" xfId="0" applyFont="1" applyFill="1" applyBorder="1"/>
    <xf numFmtId="0" fontId="0" fillId="6" borderId="14" xfId="0" applyFill="1" applyBorder="1"/>
    <xf numFmtId="0" fontId="0" fillId="6" borderId="27" xfId="0" applyFill="1" applyBorder="1"/>
    <xf numFmtId="0" fontId="0" fillId="4" borderId="14" xfId="0" applyFill="1" applyBorder="1"/>
    <xf numFmtId="164" fontId="0" fillId="0" borderId="0" xfId="0" applyNumberFormat="1" applyAlignment="1">
      <alignment horizontal="right"/>
    </xf>
    <xf numFmtId="0" fontId="0" fillId="4" borderId="0" xfId="0" applyFill="1"/>
    <xf numFmtId="0" fontId="27" fillId="4" borderId="0" xfId="6" applyFont="1" applyFill="1" applyProtection="1"/>
    <xf numFmtId="175" fontId="0" fillId="0" borderId="0" xfId="0" applyNumberFormat="1"/>
    <xf numFmtId="0" fontId="15" fillId="0" borderId="0" xfId="0" applyFont="1"/>
    <xf numFmtId="168" fontId="0" fillId="0" borderId="0" xfId="0" applyNumberFormat="1" applyAlignment="1">
      <alignment horizontal="right"/>
    </xf>
    <xf numFmtId="164" fontId="28" fillId="0" borderId="0" xfId="6" applyNumberFormat="1" applyFont="1" applyProtection="1"/>
    <xf numFmtId="0" fontId="0" fillId="0" borderId="0" xfId="8" applyFont="1" applyAlignment="1">
      <alignment horizontal="center" wrapText="1"/>
    </xf>
    <xf numFmtId="171" fontId="0" fillId="0" borderId="14" xfId="8" applyNumberFormat="1" applyFont="1" applyBorder="1" applyAlignment="1">
      <alignment wrapText="1"/>
    </xf>
    <xf numFmtId="168" fontId="0" fillId="0" borderId="0" xfId="8" applyNumberFormat="1" applyFont="1" applyAlignment="1">
      <alignment horizontal="right" wrapText="1"/>
    </xf>
    <xf numFmtId="171" fontId="0" fillId="6" borderId="3" xfId="0" applyNumberFormat="1" applyFill="1" applyBorder="1"/>
    <xf numFmtId="0" fontId="0" fillId="0" borderId="0" xfId="8" applyFont="1" applyAlignment="1">
      <alignment vertical="top"/>
    </xf>
    <xf numFmtId="171" fontId="0" fillId="0" borderId="14" xfId="8" applyNumberFormat="1" applyFont="1" applyBorder="1"/>
    <xf numFmtId="49" fontId="0" fillId="0" borderId="0" xfId="0" applyNumberFormat="1" applyAlignment="1">
      <alignment vertical="top"/>
    </xf>
    <xf numFmtId="168" fontId="0" fillId="0" borderId="0" xfId="8" applyNumberFormat="1" applyFont="1" applyBorder="1" applyAlignment="1">
      <alignment vertical="top" wrapText="1"/>
    </xf>
    <xf numFmtId="168" fontId="0" fillId="0" borderId="0" xfId="8" applyNumberFormat="1" applyFont="1" applyBorder="1" applyAlignment="1">
      <alignment vertical="top"/>
    </xf>
    <xf numFmtId="168" fontId="0" fillId="0" borderId="0" xfId="8" applyNumberFormat="1" applyFont="1" applyBorder="1" applyAlignment="1">
      <alignment horizontal="center" vertical="top" wrapText="1"/>
    </xf>
    <xf numFmtId="168" fontId="0" fillId="0" borderId="0" xfId="8" applyNumberFormat="1" applyFont="1" applyAlignment="1">
      <alignment horizontal="right" vertical="top" wrapText="1"/>
    </xf>
    <xf numFmtId="168" fontId="0" fillId="0" borderId="0" xfId="8" applyNumberFormat="1" applyFont="1" applyAlignment="1">
      <alignment vertical="top"/>
    </xf>
    <xf numFmtId="0" fontId="0" fillId="0" borderId="0" xfId="8" applyFont="1" applyAlignment="1">
      <alignment vertical="top" wrapText="1"/>
    </xf>
    <xf numFmtId="0" fontId="0" fillId="0" borderId="0" xfId="8" applyFont="1" applyAlignment="1">
      <alignment horizontal="left" vertical="top" wrapText="1"/>
    </xf>
    <xf numFmtId="164" fontId="0" fillId="0" borderId="0" xfId="8" quotePrefix="1" applyNumberFormat="1" applyFont="1" applyAlignment="1">
      <alignment horizontal="left"/>
    </xf>
    <xf numFmtId="39" fontId="0" fillId="0" borderId="0" xfId="0" applyNumberFormat="1"/>
    <xf numFmtId="0" fontId="0" fillId="4" borderId="0" xfId="0" applyFill="1" applyAlignment="1">
      <alignment vertical="top" wrapText="1"/>
    </xf>
    <xf numFmtId="0" fontId="27" fillId="4" borderId="0" xfId="6" applyFont="1" applyFill="1" applyAlignment="1" applyProtection="1">
      <alignment horizontal="center" vertical="top"/>
    </xf>
    <xf numFmtId="0" fontId="0" fillId="4" borderId="0" xfId="0" applyFill="1" applyAlignment="1">
      <alignment horizontal="center" vertical="top" wrapText="1"/>
    </xf>
    <xf numFmtId="170" fontId="0" fillId="0" borderId="0" xfId="8" applyNumberFormat="1" applyFont="1" applyAlignment="1">
      <alignment horizontal="center"/>
    </xf>
    <xf numFmtId="0" fontId="27" fillId="7" borderId="0" xfId="6" applyFont="1" applyFill="1" applyAlignment="1" applyProtection="1">
      <alignment horizontal="center" vertical="top"/>
    </xf>
    <xf numFmtId="0" fontId="39" fillId="4" borderId="0" xfId="0" applyFont="1" applyFill="1" applyAlignment="1">
      <alignment vertical="top" wrapText="1"/>
    </xf>
    <xf numFmtId="164" fontId="0" fillId="0" borderId="0" xfId="0" applyNumberFormat="1"/>
    <xf numFmtId="0" fontId="0" fillId="0" borderId="1" xfId="0" applyBorder="1" applyAlignment="1">
      <alignment horizontal="center"/>
    </xf>
    <xf numFmtId="0" fontId="0" fillId="0" borderId="0" xfId="0" applyAlignment="1">
      <alignment horizontal="left" vertical="center"/>
    </xf>
    <xf numFmtId="0" fontId="0" fillId="0" borderId="14" xfId="0" applyBorder="1" applyAlignment="1">
      <alignment horizontal="center"/>
    </xf>
    <xf numFmtId="0" fontId="0" fillId="0" borderId="0" xfId="0" applyAlignment="1">
      <alignment horizontal="left" wrapText="1"/>
    </xf>
    <xf numFmtId="0" fontId="0" fillId="0" borderId="1" xfId="0" applyBorder="1" applyAlignment="1">
      <alignment horizontal="left"/>
    </xf>
    <xf numFmtId="49" fontId="0" fillId="0" borderId="1" xfId="0" applyNumberFormat="1" applyBorder="1" applyAlignment="1">
      <alignment horizontal="center"/>
    </xf>
    <xf numFmtId="0" fontId="0" fillId="0" borderId="0" xfId="0" applyAlignment="1">
      <alignment horizontal="left" vertical="top" wrapText="1"/>
    </xf>
    <xf numFmtId="0" fontId="28" fillId="3" borderId="0" xfId="6" applyFont="1" applyFill="1" applyAlignment="1" applyProtection="1">
      <alignment horizontal="right"/>
    </xf>
    <xf numFmtId="0" fontId="0" fillId="0" borderId="7" xfId="0" applyBorder="1" applyAlignment="1">
      <alignment horizontal="left"/>
    </xf>
    <xf numFmtId="0" fontId="0" fillId="0" borderId="3" xfId="0" applyBorder="1"/>
    <xf numFmtId="0" fontId="0" fillId="0" borderId="7" xfId="0" applyBorder="1"/>
    <xf numFmtId="0" fontId="0" fillId="0" borderId="1" xfId="0" applyBorder="1"/>
    <xf numFmtId="0" fontId="0" fillId="0" borderId="5" xfId="0" applyBorder="1"/>
    <xf numFmtId="0" fontId="0" fillId="0" borderId="14" xfId="0" applyBorder="1" applyAlignment="1">
      <alignment horizontal="left"/>
    </xf>
    <xf numFmtId="0" fontId="0" fillId="0" borderId="14" xfId="8" applyFont="1" applyBorder="1" applyAlignment="1">
      <alignment horizontal="center" wrapText="1"/>
    </xf>
    <xf numFmtId="0" fontId="0" fillId="0" borderId="0" xfId="0" applyAlignment="1">
      <alignment horizontal="right"/>
    </xf>
    <xf numFmtId="49" fontId="0" fillId="0" borderId="1" xfId="0" applyNumberFormat="1" applyBorder="1" applyAlignment="1">
      <alignment horizontal="left"/>
    </xf>
    <xf numFmtId="0" fontId="27" fillId="0" borderId="0" xfId="6" applyFont="1" applyFill="1" applyAlignment="1" applyProtection="1">
      <alignment horizontal="center" vertical="top" wrapText="1"/>
    </xf>
    <xf numFmtId="0" fontId="27" fillId="0" borderId="0" xfId="6" applyFont="1" applyFill="1" applyAlignment="1" applyProtection="1">
      <alignment horizontal="center" vertical="top"/>
    </xf>
    <xf numFmtId="0" fontId="0" fillId="0" borderId="0" xfId="6" applyFont="1" applyFill="1" applyAlignment="1" applyProtection="1">
      <alignment vertical="top" wrapText="1"/>
    </xf>
    <xf numFmtId="0" fontId="45" fillId="0" borderId="0" xfId="10" applyFont="1" applyAlignment="1">
      <alignment horizontal="right"/>
    </xf>
    <xf numFmtId="179" fontId="35" fillId="2" borderId="0" xfId="10" applyNumberFormat="1" applyFont="1" applyFill="1"/>
    <xf numFmtId="0" fontId="35" fillId="0" borderId="0" xfId="10" applyFont="1"/>
    <xf numFmtId="0" fontId="0" fillId="0" borderId="1" xfId="11" applyFont="1" applyBorder="1" applyAlignment="1">
      <alignment horizontal="center"/>
    </xf>
    <xf numFmtId="0" fontId="35" fillId="0" borderId="0" xfId="10" applyFont="1" applyAlignment="1">
      <alignment horizontal="center"/>
    </xf>
    <xf numFmtId="0" fontId="35" fillId="0" borderId="0" xfId="8" applyFont="1"/>
    <xf numFmtId="37" fontId="45" fillId="0" borderId="0" xfId="8" applyNumberFormat="1" applyFont="1" applyAlignment="1">
      <alignment horizontal="left"/>
    </xf>
    <xf numFmtId="0" fontId="45" fillId="8" borderId="3" xfId="0" applyFont="1" applyFill="1" applyBorder="1" applyAlignment="1">
      <alignment horizontal="center" wrapText="1"/>
    </xf>
    <xf numFmtId="0" fontId="45" fillId="0" borderId="0" xfId="0" applyFont="1" applyAlignment="1">
      <alignment horizontal="left" vertical="top"/>
    </xf>
    <xf numFmtId="0" fontId="45" fillId="0" borderId="0" xfId="0" applyFont="1" applyAlignment="1">
      <alignment wrapText="1"/>
    </xf>
    <xf numFmtId="0" fontId="35" fillId="0" borderId="0" xfId="0" quotePrefix="1" applyFont="1" applyAlignment="1">
      <alignment horizontal="right"/>
    </xf>
    <xf numFmtId="37" fontId="35" fillId="0" borderId="3" xfId="0" applyNumberFormat="1" applyFont="1" applyBorder="1" applyProtection="1">
      <protection locked="0"/>
    </xf>
    <xf numFmtId="179" fontId="8" fillId="0" borderId="0" xfId="6" quotePrefix="1" applyNumberFormat="1" applyFont="1" applyFill="1" applyAlignment="1" applyProtection="1">
      <alignment horizontal="right"/>
    </xf>
    <xf numFmtId="0" fontId="35" fillId="0" borderId="0" xfId="0" applyFont="1" applyAlignment="1">
      <alignment horizontal="left" vertical="top"/>
    </xf>
    <xf numFmtId="37" fontId="35" fillId="0" borderId="0" xfId="0" applyNumberFormat="1" applyFont="1" applyAlignment="1">
      <alignment wrapText="1"/>
    </xf>
    <xf numFmtId="0" fontId="0" fillId="0" borderId="0" xfId="0" quotePrefix="1" applyAlignment="1">
      <alignment horizontal="left"/>
    </xf>
    <xf numFmtId="37" fontId="35" fillId="0" borderId="9" xfId="0" applyNumberFormat="1" applyFont="1" applyBorder="1"/>
    <xf numFmtId="37" fontId="35" fillId="0" borderId="3" xfId="0" applyNumberFormat="1" applyFont="1" applyBorder="1"/>
    <xf numFmtId="49" fontId="35" fillId="0" borderId="0" xfId="6" applyNumberFormat="1" applyFont="1" applyFill="1" applyAlignment="1" applyProtection="1">
      <alignment horizontal="center" vertical="top"/>
    </xf>
    <xf numFmtId="37" fontId="35" fillId="0" borderId="0" xfId="0" applyNumberFormat="1" applyFont="1"/>
    <xf numFmtId="0" fontId="35" fillId="0" borderId="0" xfId="0" applyFont="1" applyAlignment="1">
      <alignment horizontal="right"/>
    </xf>
    <xf numFmtId="0" fontId="35" fillId="0" borderId="1" xfId="10" applyFont="1" applyBorder="1" applyAlignment="1">
      <alignment horizontal="left"/>
    </xf>
    <xf numFmtId="49" fontId="35" fillId="0" borderId="1" xfId="10" applyNumberFormat="1" applyFont="1" applyBorder="1"/>
    <xf numFmtId="0" fontId="0" fillId="7" borderId="0" xfId="0" applyFill="1" applyAlignment="1">
      <alignment vertical="top" wrapText="1"/>
    </xf>
    <xf numFmtId="0" fontId="46" fillId="0" borderId="0" xfId="8" applyFont="1"/>
    <xf numFmtId="0" fontId="46" fillId="0" borderId="0" xfId="8" applyFont="1" applyAlignment="1">
      <alignment horizontal="center"/>
    </xf>
    <xf numFmtId="0" fontId="46" fillId="0" borderId="0" xfId="8" applyFont="1" applyAlignment="1">
      <alignment horizontal="right"/>
    </xf>
    <xf numFmtId="0" fontId="39" fillId="0" borderId="0" xfId="0" quotePrefix="1" applyFont="1" applyAlignment="1">
      <alignment vertical="top" wrapText="1"/>
    </xf>
    <xf numFmtId="0" fontId="0" fillId="7" borderId="0" xfId="0" applyFill="1" applyAlignment="1">
      <alignment horizontal="center" vertical="top" wrapText="1"/>
    </xf>
    <xf numFmtId="0" fontId="33" fillId="0" borderId="0" xfId="0" applyFont="1" applyAlignment="1">
      <alignment horizontal="left" wrapText="1"/>
    </xf>
    <xf numFmtId="0" fontId="0" fillId="0" borderId="0" xfId="0" quotePrefix="1" applyAlignment="1">
      <alignment vertical="top"/>
    </xf>
    <xf numFmtId="0" fontId="0" fillId="7" borderId="0" xfId="6" applyFont="1" applyFill="1" applyAlignment="1" applyProtection="1">
      <alignment vertical="top" wrapText="1"/>
    </xf>
    <xf numFmtId="0" fontId="0" fillId="7" borderId="0" xfId="0" applyFill="1"/>
    <xf numFmtId="172" fontId="0" fillId="7" borderId="0" xfId="8" applyNumberFormat="1" applyFont="1" applyFill="1"/>
    <xf numFmtId="0" fontId="5" fillId="0" borderId="0" xfId="6" applyAlignment="1" applyProtection="1">
      <alignment vertical="center"/>
    </xf>
    <xf numFmtId="0" fontId="28" fillId="3" borderId="32" xfId="6" applyFont="1" applyFill="1" applyBorder="1" applyAlignment="1" applyProtection="1">
      <alignment horizontal="center" vertical="center"/>
    </xf>
    <xf numFmtId="0" fontId="28" fillId="3" borderId="0" xfId="6" applyFont="1" applyFill="1" applyAlignment="1" applyProtection="1">
      <alignment horizontal="center" vertical="center"/>
    </xf>
    <xf numFmtId="0" fontId="28" fillId="3" borderId="1" xfId="6" applyFont="1" applyFill="1" applyBorder="1" applyAlignment="1" applyProtection="1">
      <alignment horizontal="center" vertical="center"/>
    </xf>
    <xf numFmtId="168" fontId="35" fillId="0" borderId="3" xfId="8" applyNumberFormat="1" applyFont="1" applyBorder="1"/>
    <xf numFmtId="168" fontId="48" fillId="0" borderId="3" xfId="8" applyNumberFormat="1" applyFont="1" applyBorder="1"/>
    <xf numFmtId="0" fontId="48" fillId="0" borderId="0" xfId="6" applyFont="1" applyAlignment="1" applyProtection="1">
      <alignment vertical="top" wrapText="1"/>
    </xf>
    <xf numFmtId="0" fontId="0" fillId="0" borderId="3" xfId="0" applyBorder="1" applyAlignment="1">
      <alignment horizontal="center" wrapText="1"/>
    </xf>
    <xf numFmtId="0" fontId="0" fillId="0" borderId="0" xfId="0" applyAlignment="1">
      <alignment horizontal="left" vertical="top"/>
    </xf>
    <xf numFmtId="177" fontId="3" fillId="7" borderId="0" xfId="8" applyNumberFormat="1" applyFont="1" applyFill="1" applyAlignment="1">
      <alignment horizontal="left"/>
    </xf>
    <xf numFmtId="0" fontId="33" fillId="0" borderId="0" xfId="0" applyFont="1" applyAlignment="1">
      <alignment horizontal="left"/>
    </xf>
    <xf numFmtId="0" fontId="0" fillId="4" borderId="0" xfId="0" applyFill="1" applyAlignment="1">
      <alignment vertical="center"/>
    </xf>
    <xf numFmtId="0" fontId="0" fillId="7" borderId="0" xfId="0" applyFill="1" applyAlignment="1">
      <alignment horizontal="right"/>
    </xf>
    <xf numFmtId="177" fontId="0" fillId="7" borderId="25" xfId="2" applyNumberFormat="1" applyFont="1" applyFill="1" applyBorder="1" applyAlignment="1" applyProtection="1">
      <alignment horizontal="left"/>
    </xf>
    <xf numFmtId="0" fontId="0" fillId="7" borderId="25" xfId="8" applyFont="1" applyFill="1" applyBorder="1" applyAlignment="1">
      <alignment horizontal="right"/>
    </xf>
    <xf numFmtId="0" fontId="8" fillId="3" borderId="0" xfId="6" applyFont="1" applyFill="1" applyAlignment="1" applyProtection="1">
      <alignment horizontal="right"/>
    </xf>
    <xf numFmtId="0" fontId="8" fillId="3" borderId="0" xfId="6" quotePrefix="1" applyFont="1" applyFill="1" applyAlignment="1" applyProtection="1">
      <alignment horizontal="right"/>
    </xf>
    <xf numFmtId="0" fontId="8" fillId="3" borderId="0" xfId="6" applyFont="1" applyFill="1" applyAlignment="1" applyProtection="1">
      <alignment horizontal="right" vertical="top" wrapText="1"/>
    </xf>
    <xf numFmtId="49" fontId="35" fillId="0" borderId="0" xfId="6" applyNumberFormat="1" applyFont="1" applyFill="1" applyAlignment="1" applyProtection="1">
      <alignment horizontal="right" vertical="top"/>
    </xf>
    <xf numFmtId="0" fontId="8" fillId="3" borderId="0" xfId="6" applyFont="1" applyFill="1" applyAlignment="1">
      <alignment horizontal="right"/>
      <protection locked="0"/>
    </xf>
    <xf numFmtId="0" fontId="27" fillId="3" borderId="0" xfId="6" applyFont="1" applyFill="1" applyAlignment="1" applyProtection="1">
      <alignment horizontal="left"/>
    </xf>
    <xf numFmtId="0" fontId="8" fillId="3" borderId="0" xfId="6" applyFont="1" applyFill="1" applyBorder="1" applyAlignment="1" applyProtection="1">
      <alignment horizontal="left"/>
    </xf>
    <xf numFmtId="0" fontId="29" fillId="0" borderId="0" xfId="0" applyFont="1" applyAlignment="1">
      <alignment horizontal="center"/>
    </xf>
    <xf numFmtId="0" fontId="0" fillId="0" borderId="1" xfId="0" applyBorder="1" applyAlignment="1" applyProtection="1">
      <alignment horizontal="center"/>
      <protection locked="0"/>
    </xf>
    <xf numFmtId="0" fontId="0" fillId="0" borderId="32" xfId="0" applyBorder="1" applyAlignment="1">
      <alignment horizontal="center"/>
    </xf>
    <xf numFmtId="0" fontId="0" fillId="0" borderId="1" xfId="0" applyBorder="1" applyProtection="1">
      <protection locked="0"/>
    </xf>
    <xf numFmtId="0" fontId="12" fillId="0" borderId="0" xfId="6" applyFont="1" applyAlignment="1" applyProtection="1">
      <alignment horizontal="center"/>
    </xf>
    <xf numFmtId="0" fontId="12" fillId="0" borderId="13" xfId="6" applyFont="1" applyBorder="1" applyAlignment="1" applyProtection="1">
      <alignment horizontal="center"/>
    </xf>
    <xf numFmtId="49" fontId="0" fillId="0" borderId="1" xfId="0" applyNumberFormat="1" applyBorder="1" applyProtection="1">
      <protection locked="0"/>
    </xf>
    <xf numFmtId="167" fontId="0" fillId="0" borderId="9" xfId="0" applyNumberFormat="1" applyBorder="1" applyAlignment="1" applyProtection="1">
      <alignment horizontal="left"/>
      <protection locked="0"/>
    </xf>
    <xf numFmtId="0" fontId="28" fillId="3" borderId="0" xfId="6" applyFont="1" applyFill="1" applyBorder="1" applyAlignment="1" applyProtection="1">
      <alignment horizontal="center" vertical="center"/>
    </xf>
    <xf numFmtId="49" fontId="0" fillId="0" borderId="1" xfId="0" applyNumberFormat="1" applyBorder="1" applyAlignment="1" applyProtection="1">
      <alignment horizontal="center"/>
      <protection locked="0"/>
    </xf>
    <xf numFmtId="0" fontId="0" fillId="0" borderId="1" xfId="0" applyBorder="1" applyAlignment="1" applyProtection="1">
      <alignment horizontal="left"/>
      <protection locked="0"/>
    </xf>
    <xf numFmtId="0" fontId="0" fillId="0" borderId="9" xfId="0" applyBorder="1" applyAlignment="1" applyProtection="1">
      <alignment horizontal="left"/>
      <protection locked="0"/>
    </xf>
    <xf numFmtId="0" fontId="3" fillId="0" borderId="0" xfId="0" applyFont="1" applyAlignment="1">
      <alignment horizontal="left"/>
    </xf>
    <xf numFmtId="0" fontId="17" fillId="0" borderId="0" xfId="0" applyFont="1" applyAlignment="1">
      <alignment horizontal="left"/>
    </xf>
    <xf numFmtId="0" fontId="41" fillId="0" borderId="0" xfId="0" applyFont="1" applyAlignment="1">
      <alignment horizontal="center" vertical="center" wrapText="1"/>
    </xf>
    <xf numFmtId="0" fontId="0" fillId="0" borderId="0" xfId="0" applyAlignment="1">
      <alignment horizontal="left"/>
    </xf>
    <xf numFmtId="0" fontId="0" fillId="0" borderId="0" xfId="0" applyAlignment="1">
      <alignment horizontal="center"/>
    </xf>
    <xf numFmtId="0" fontId="8" fillId="3" borderId="0" xfId="6" applyFont="1" applyFill="1" applyProtection="1"/>
    <xf numFmtId="0" fontId="3" fillId="0" borderId="0" xfId="0" applyFont="1" applyAlignment="1">
      <alignment horizontal="center"/>
    </xf>
    <xf numFmtId="0" fontId="5" fillId="0" borderId="13" xfId="6" applyBorder="1" applyAlignment="1" applyProtection="1">
      <alignment horizontal="center" vertical="center"/>
    </xf>
    <xf numFmtId="0" fontId="0" fillId="0" borderId="5" xfId="0" applyBorder="1" applyAlignment="1" applyProtection="1">
      <alignment horizontal="left"/>
      <protection locked="0"/>
    </xf>
    <xf numFmtId="0" fontId="8" fillId="3" borderId="0" xfId="6" applyFont="1" applyFill="1" applyAlignment="1" applyProtection="1">
      <alignment horizontal="right"/>
    </xf>
    <xf numFmtId="0" fontId="43" fillId="0" borderId="0" xfId="0" applyFont="1" applyAlignment="1">
      <alignment horizontal="center" vertical="center" wrapText="1"/>
    </xf>
    <xf numFmtId="0" fontId="0" fillId="0" borderId="28" xfId="0" quotePrefix="1" applyBorder="1" applyAlignment="1" applyProtection="1">
      <alignment horizontal="left" vertical="top" wrapText="1"/>
      <protection locked="0"/>
    </xf>
    <xf numFmtId="0" fontId="0" fillId="0" borderId="32" xfId="0" quotePrefix="1" applyBorder="1" applyAlignment="1" applyProtection="1">
      <alignment horizontal="left" vertical="top" wrapText="1"/>
      <protection locked="0"/>
    </xf>
    <xf numFmtId="0" fontId="0" fillId="0" borderId="33" xfId="0" quotePrefix="1" applyBorder="1" applyAlignment="1" applyProtection="1">
      <alignment horizontal="left" vertical="top" wrapText="1"/>
      <protection locked="0"/>
    </xf>
    <xf numFmtId="0" fontId="0" fillId="0" borderId="18" xfId="0" quotePrefix="1" applyBorder="1" applyAlignment="1" applyProtection="1">
      <alignment horizontal="left" vertical="top" wrapText="1"/>
      <protection locked="0"/>
    </xf>
    <xf numFmtId="0" fontId="0" fillId="0" borderId="0" xfId="0" quotePrefix="1" applyAlignment="1" applyProtection="1">
      <alignment horizontal="left" vertical="top" wrapText="1"/>
      <protection locked="0"/>
    </xf>
    <xf numFmtId="0" fontId="0" fillId="0" borderId="13" xfId="0" quotePrefix="1" applyBorder="1" applyAlignment="1" applyProtection="1">
      <alignment horizontal="left" vertical="top" wrapText="1"/>
      <protection locked="0"/>
    </xf>
    <xf numFmtId="0" fontId="0" fillId="0" borderId="7" xfId="0" quotePrefix="1" applyBorder="1" applyAlignment="1" applyProtection="1">
      <alignment horizontal="left" vertical="top" wrapText="1"/>
      <protection locked="0"/>
    </xf>
    <xf numFmtId="0" fontId="0" fillId="0" borderId="1" xfId="0" quotePrefix="1" applyBorder="1" applyAlignment="1" applyProtection="1">
      <alignment horizontal="left" vertical="top" wrapText="1"/>
      <protection locked="0"/>
    </xf>
    <xf numFmtId="0" fontId="0" fillId="0" borderId="5" xfId="0" quotePrefix="1" applyBorder="1" applyAlignment="1" applyProtection="1">
      <alignment horizontal="left" vertical="top" wrapText="1"/>
      <protection locked="0"/>
    </xf>
    <xf numFmtId="0" fontId="0" fillId="0" borderId="0" xfId="0"/>
    <xf numFmtId="174" fontId="0" fillId="0" borderId="1" xfId="0" applyNumberFormat="1" applyBorder="1" applyAlignment="1" applyProtection="1">
      <alignment horizontal="center"/>
      <protection locked="0"/>
    </xf>
    <xf numFmtId="0" fontId="4" fillId="0" borderId="0" xfId="0" applyFont="1" applyAlignment="1">
      <alignment horizontal="center"/>
    </xf>
    <xf numFmtId="164" fontId="0" fillId="0" borderId="0" xfId="0" applyNumberFormat="1"/>
    <xf numFmtId="167" fontId="0" fillId="0" borderId="1" xfId="0" applyNumberFormat="1" applyBorder="1" applyAlignment="1" applyProtection="1">
      <alignment horizontal="left"/>
      <protection locked="0"/>
    </xf>
    <xf numFmtId="0" fontId="8" fillId="3" borderId="0" xfId="6" applyFont="1" applyFill="1" applyAlignment="1" applyProtection="1">
      <alignment horizontal="center"/>
    </xf>
    <xf numFmtId="0" fontId="8" fillId="3" borderId="32" xfId="6" applyFont="1" applyFill="1" applyBorder="1" applyAlignment="1" applyProtection="1">
      <alignment horizontal="center"/>
    </xf>
    <xf numFmtId="0" fontId="0" fillId="0" borderId="1" xfId="0" applyBorder="1" applyAlignment="1">
      <alignment horizontal="left"/>
    </xf>
    <xf numFmtId="49" fontId="0" fillId="0" borderId="1" xfId="0" applyNumberFormat="1" applyBorder="1" applyAlignment="1">
      <alignment horizontal="center"/>
    </xf>
    <xf numFmtId="0" fontId="10" fillId="0" borderId="0" xfId="6" applyFont="1" applyAlignment="1" applyProtection="1">
      <alignment horizontal="center" vertical="center"/>
    </xf>
    <xf numFmtId="0" fontId="0" fillId="0" borderId="1" xfId="0" applyBorder="1" applyAlignment="1">
      <alignment horizontal="center"/>
    </xf>
    <xf numFmtId="0" fontId="0" fillId="0" borderId="0" xfId="0" applyAlignment="1">
      <alignment horizontal="left" vertical="top" wrapText="1"/>
    </xf>
    <xf numFmtId="0" fontId="0" fillId="0" borderId="13" xfId="0" applyBorder="1" applyAlignment="1">
      <alignment horizontal="left" vertical="top" wrapText="1"/>
    </xf>
    <xf numFmtId="0" fontId="28" fillId="3" borderId="0" xfId="6" applyFont="1" applyFill="1" applyAlignment="1" applyProtection="1">
      <alignment horizontal="right"/>
    </xf>
    <xf numFmtId="0" fontId="42" fillId="3" borderId="0" xfId="6" applyFont="1" applyFill="1" applyAlignment="1" applyProtection="1">
      <alignment horizontal="right"/>
    </xf>
    <xf numFmtId="0" fontId="0" fillId="0" borderId="3" xfId="0" applyBorder="1" applyAlignment="1">
      <alignment horizontal="center" wrapText="1"/>
    </xf>
    <xf numFmtId="0" fontId="24" fillId="3" borderId="0" xfId="6" applyFont="1" applyFill="1" applyAlignment="1" applyProtection="1">
      <alignment horizontal="left" vertical="top" wrapText="1"/>
    </xf>
    <xf numFmtId="0" fontId="28" fillId="3" borderId="0" xfId="6" applyFont="1" applyFill="1" applyAlignment="1" applyProtection="1">
      <alignment horizontal="center" vertical="center"/>
    </xf>
    <xf numFmtId="0" fontId="0" fillId="0" borderId="14" xfId="0" applyBorder="1" applyAlignment="1">
      <alignment horizontal="center"/>
    </xf>
    <xf numFmtId="0" fontId="0" fillId="0" borderId="27" xfId="0" applyBorder="1" applyAlignment="1">
      <alignment horizontal="center"/>
    </xf>
    <xf numFmtId="0" fontId="5" fillId="0" borderId="32" xfId="6" applyBorder="1" applyAlignment="1" applyProtection="1">
      <alignment horizontal="center" vertical="center"/>
    </xf>
    <xf numFmtId="0" fontId="5" fillId="0" borderId="0" xfId="6" applyAlignment="1" applyProtection="1">
      <alignment horizontal="center" vertical="center"/>
    </xf>
    <xf numFmtId="0" fontId="3" fillId="0" borderId="14" xfId="0" applyFont="1" applyBorder="1" applyAlignment="1">
      <alignment horizontal="center"/>
    </xf>
    <xf numFmtId="0" fontId="3" fillId="0" borderId="9" xfId="0" applyFont="1" applyBorder="1" applyAlignment="1">
      <alignment horizontal="center"/>
    </xf>
    <xf numFmtId="0" fontId="3" fillId="0" borderId="27" xfId="0" applyFont="1" applyBorder="1" applyAlignment="1">
      <alignment horizontal="center"/>
    </xf>
    <xf numFmtId="0" fontId="3" fillId="0" borderId="3" xfId="0" applyFont="1" applyBorder="1" applyAlignment="1">
      <alignment horizontal="center"/>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22" fillId="0" borderId="28" xfId="0" applyFont="1" applyBorder="1" applyAlignment="1">
      <alignment horizontal="center"/>
    </xf>
    <xf numFmtId="0" fontId="22" fillId="0" borderId="33" xfId="0" applyFont="1" applyBorder="1" applyAlignment="1">
      <alignment horizontal="center"/>
    </xf>
    <xf numFmtId="0" fontId="22" fillId="0" borderId="14" xfId="0" applyFont="1" applyBorder="1" applyAlignment="1">
      <alignment horizontal="center"/>
    </xf>
    <xf numFmtId="0" fontId="22" fillId="0" borderId="27" xfId="0" applyFont="1" applyBorder="1" applyAlignment="1">
      <alignment horizontal="center"/>
    </xf>
    <xf numFmtId="0" fontId="0" fillId="0" borderId="7" xfId="0" applyBorder="1" applyAlignment="1">
      <alignment horizontal="left"/>
    </xf>
    <xf numFmtId="0" fontId="0" fillId="0" borderId="3" xfId="0" applyBorder="1" applyAlignment="1">
      <alignment horizontal="left"/>
    </xf>
    <xf numFmtId="38" fontId="22" fillId="0" borderId="14" xfId="0" applyNumberFormat="1" applyFont="1" applyBorder="1" applyAlignment="1">
      <alignment horizontal="center"/>
    </xf>
    <xf numFmtId="38" fontId="22" fillId="0" borderId="27" xfId="0" applyNumberFormat="1" applyFont="1" applyBorder="1" applyAlignment="1">
      <alignment horizontal="center"/>
    </xf>
    <xf numFmtId="0" fontId="29" fillId="0" borderId="0" xfId="0" applyFont="1" applyAlignment="1">
      <alignment horizontal="center" vertical="top" wrapText="1"/>
    </xf>
    <xf numFmtId="0" fontId="22" fillId="0" borderId="28" xfId="0" applyFont="1" applyBorder="1" applyAlignment="1">
      <alignment horizontal="left" vertical="top" wrapText="1"/>
    </xf>
    <xf numFmtId="0" fontId="22" fillId="0" borderId="32" xfId="0" applyFont="1" applyBorder="1" applyAlignment="1">
      <alignment horizontal="left" vertical="top" wrapText="1"/>
    </xf>
    <xf numFmtId="0" fontId="22" fillId="0" borderId="33" xfId="0" applyFont="1" applyBorder="1" applyAlignment="1">
      <alignment horizontal="left" vertical="top" wrapText="1"/>
    </xf>
    <xf numFmtId="0" fontId="22" fillId="0" borderId="18" xfId="0" applyFont="1" applyBorder="1" applyAlignment="1">
      <alignment horizontal="left" vertical="top" wrapText="1"/>
    </xf>
    <xf numFmtId="0" fontId="22" fillId="0" borderId="0" xfId="0" applyFont="1" applyAlignment="1">
      <alignment horizontal="left" vertical="top" wrapText="1"/>
    </xf>
    <xf numFmtId="0" fontId="22" fillId="0" borderId="13" xfId="0" applyFont="1" applyBorder="1" applyAlignment="1">
      <alignment horizontal="left" vertical="top" wrapText="1"/>
    </xf>
    <xf numFmtId="0" fontId="22" fillId="0" borderId="7" xfId="0" applyFont="1" applyBorder="1" applyAlignment="1">
      <alignment horizontal="left" vertical="top" wrapText="1"/>
    </xf>
    <xf numFmtId="0" fontId="22" fillId="0" borderId="1" xfId="0" applyFont="1" applyBorder="1" applyAlignment="1">
      <alignment horizontal="left" vertical="top" wrapText="1"/>
    </xf>
    <xf numFmtId="0" fontId="22" fillId="0" borderId="5" xfId="0" applyFont="1" applyBorder="1" applyAlignment="1">
      <alignment horizontal="left" vertical="top" wrapText="1"/>
    </xf>
    <xf numFmtId="37" fontId="3" fillId="0" borderId="0" xfId="8" applyNumberFormat="1" applyFont="1" applyAlignment="1">
      <alignment horizontal="left" wrapText="1"/>
    </xf>
    <xf numFmtId="0" fontId="3" fillId="0" borderId="0" xfId="0" applyFont="1"/>
    <xf numFmtId="37" fontId="35" fillId="0" borderId="28" xfId="0" applyNumberFormat="1" applyFont="1" applyBorder="1" applyAlignment="1" applyProtection="1">
      <alignment horizontal="left" vertical="top"/>
      <protection locked="0"/>
    </xf>
    <xf numFmtId="37" fontId="35" fillId="0" borderId="32" xfId="0" applyNumberFormat="1" applyFont="1" applyBorder="1" applyAlignment="1" applyProtection="1">
      <alignment horizontal="left" vertical="top"/>
      <protection locked="0"/>
    </xf>
    <xf numFmtId="37" fontId="35" fillId="0" borderId="33" xfId="0" applyNumberFormat="1" applyFont="1" applyBorder="1" applyAlignment="1" applyProtection="1">
      <alignment horizontal="left" vertical="top"/>
      <protection locked="0"/>
    </xf>
    <xf numFmtId="37" fontId="35" fillId="0" borderId="18" xfId="0" applyNumberFormat="1" applyFont="1" applyBorder="1" applyAlignment="1" applyProtection="1">
      <alignment horizontal="left" vertical="top"/>
      <protection locked="0"/>
    </xf>
    <xf numFmtId="37" fontId="35" fillId="0" borderId="0" xfId="0" applyNumberFormat="1" applyFont="1" applyAlignment="1" applyProtection="1">
      <alignment horizontal="left" vertical="top"/>
      <protection locked="0"/>
    </xf>
    <xf numFmtId="37" fontId="35" fillId="0" borderId="13" xfId="0" applyNumberFormat="1" applyFont="1" applyBorder="1" applyAlignment="1" applyProtection="1">
      <alignment horizontal="left" vertical="top"/>
      <protection locked="0"/>
    </xf>
    <xf numFmtId="37" fontId="35" fillId="0" borderId="7" xfId="0" applyNumberFormat="1" applyFont="1" applyBorder="1" applyAlignment="1" applyProtection="1">
      <alignment horizontal="left" vertical="top"/>
      <protection locked="0"/>
    </xf>
    <xf numFmtId="37" fontId="35" fillId="0" borderId="1" xfId="0" applyNumberFormat="1" applyFont="1" applyBorder="1" applyAlignment="1" applyProtection="1">
      <alignment horizontal="left" vertical="top"/>
      <protection locked="0"/>
    </xf>
    <xf numFmtId="37" fontId="35" fillId="0" borderId="5" xfId="0" applyNumberFormat="1" applyFont="1" applyBorder="1" applyAlignment="1" applyProtection="1">
      <alignment horizontal="left" vertical="top"/>
      <protection locked="0"/>
    </xf>
    <xf numFmtId="0" fontId="15" fillId="7" borderId="0" xfId="0" applyFont="1" applyFill="1" applyAlignment="1">
      <alignment horizontal="left" vertical="top" wrapText="1"/>
    </xf>
    <xf numFmtId="0" fontId="0" fillId="10" borderId="0" xfId="0" applyFill="1" applyAlignment="1">
      <alignment horizontal="left" vertical="top" wrapText="1"/>
    </xf>
    <xf numFmtId="171" fontId="0" fillId="0" borderId="14" xfId="8" applyNumberFormat="1" applyFont="1" applyBorder="1" applyAlignment="1" applyProtection="1">
      <alignment horizontal="center"/>
      <protection locked="0"/>
    </xf>
    <xf numFmtId="171" fontId="0" fillId="0" borderId="27" xfId="8" applyNumberFormat="1" applyFont="1" applyBorder="1" applyAlignment="1" applyProtection="1">
      <alignment horizontal="center"/>
      <protection locked="0"/>
    </xf>
    <xf numFmtId="0" fontId="0" fillId="9" borderId="0" xfId="0" applyFill="1" applyAlignment="1">
      <alignment horizontal="left" vertical="top" wrapText="1"/>
    </xf>
    <xf numFmtId="171" fontId="0" fillId="0" borderId="14" xfId="8" applyNumberFormat="1" applyFont="1" applyBorder="1" applyAlignment="1">
      <alignment horizontal="center" wrapText="1"/>
    </xf>
    <xf numFmtId="171" fontId="0" fillId="0" borderId="27" xfId="8" applyNumberFormat="1" applyFont="1" applyBorder="1" applyAlignment="1">
      <alignment horizontal="center" wrapText="1"/>
    </xf>
    <xf numFmtId="0" fontId="0" fillId="0" borderId="0" xfId="8" applyFont="1" applyAlignment="1">
      <alignment horizontal="left" vertical="top" wrapText="1"/>
    </xf>
    <xf numFmtId="0" fontId="0" fillId="0" borderId="9" xfId="0" applyBorder="1" applyAlignment="1">
      <alignment horizontal="center"/>
    </xf>
    <xf numFmtId="178" fontId="0" fillId="0" borderId="9" xfId="0" applyNumberFormat="1" applyBorder="1"/>
    <xf numFmtId="178" fontId="0" fillId="0" borderId="27" xfId="0" applyNumberFormat="1" applyBorder="1"/>
    <xf numFmtId="49" fontId="0" fillId="0" borderId="14" xfId="0" applyNumberFormat="1" applyBorder="1" applyAlignment="1">
      <alignment horizontal="center"/>
    </xf>
    <xf numFmtId="49" fontId="0" fillId="0" borderId="9" xfId="0" applyNumberFormat="1" applyBorder="1" applyAlignment="1">
      <alignment horizontal="center"/>
    </xf>
    <xf numFmtId="49" fontId="0" fillId="0" borderId="27" xfId="0" applyNumberFormat="1" applyBorder="1" applyAlignment="1">
      <alignment horizontal="center"/>
    </xf>
    <xf numFmtId="0" fontId="0" fillId="0" borderId="14" xfId="8" applyFont="1" applyBorder="1" applyAlignment="1">
      <alignment horizontal="center" wrapText="1"/>
    </xf>
    <xf numFmtId="0" fontId="0" fillId="0" borderId="27" xfId="8" applyFont="1" applyBorder="1" applyAlignment="1">
      <alignment horizontal="center" wrapText="1"/>
    </xf>
    <xf numFmtId="178" fontId="0" fillId="0" borderId="9" xfId="0" applyNumberFormat="1" applyBorder="1" applyAlignment="1">
      <alignment horizontal="right"/>
    </xf>
    <xf numFmtId="178" fontId="0" fillId="0" borderId="27" xfId="0" applyNumberFormat="1" applyBorder="1" applyAlignment="1">
      <alignment horizontal="right"/>
    </xf>
    <xf numFmtId="178" fontId="0" fillId="0" borderId="9" xfId="0" applyNumberFormat="1" applyBorder="1" applyAlignment="1" applyProtection="1">
      <alignment horizontal="right"/>
      <protection locked="0"/>
    </xf>
    <xf numFmtId="178" fontId="0" fillId="0" borderId="27" xfId="0" applyNumberFormat="1" applyBorder="1" applyAlignment="1" applyProtection="1">
      <alignment horizontal="right"/>
      <protection locked="0"/>
    </xf>
    <xf numFmtId="178" fontId="0" fillId="0" borderId="9" xfId="0" applyNumberFormat="1" applyBorder="1" applyProtection="1">
      <protection locked="0"/>
    </xf>
    <xf numFmtId="178" fontId="0" fillId="0" borderId="27" xfId="0" applyNumberFormat="1" applyBorder="1" applyProtection="1">
      <protection locked="0"/>
    </xf>
    <xf numFmtId="171" fontId="0" fillId="6" borderId="14" xfId="0" applyNumberFormat="1" applyFill="1" applyBorder="1" applyAlignment="1">
      <alignment horizontal="center"/>
    </xf>
    <xf numFmtId="171" fontId="0" fillId="6" borderId="27" xfId="0" applyNumberFormat="1" applyFill="1" applyBorder="1" applyAlignment="1">
      <alignment horizontal="center"/>
    </xf>
    <xf numFmtId="0" fontId="15" fillId="0" borderId="0" xfId="0" applyFont="1" applyAlignment="1">
      <alignment horizontal="left" vertical="top" wrapText="1"/>
    </xf>
    <xf numFmtId="0" fontId="33" fillId="0" borderId="0" xfId="0" applyFont="1" applyAlignment="1">
      <alignment horizontal="center"/>
    </xf>
    <xf numFmtId="0" fontId="0" fillId="0" borderId="0" xfId="0" applyAlignment="1">
      <alignment horizontal="left" vertical="center"/>
    </xf>
    <xf numFmtId="0" fontId="0" fillId="0" borderId="13" xfId="0" applyBorder="1" applyAlignment="1">
      <alignment horizontal="left" vertical="center"/>
    </xf>
    <xf numFmtId="0" fontId="0" fillId="0" borderId="13" xfId="0" applyBorder="1" applyAlignment="1">
      <alignment horizontal="left"/>
    </xf>
    <xf numFmtId="0" fontId="22" fillId="0" borderId="3" xfId="0" applyFont="1" applyBorder="1" applyAlignment="1" applyProtection="1">
      <alignment horizontal="left" vertical="center" wrapText="1"/>
      <protection locked="0"/>
    </xf>
    <xf numFmtId="0" fontId="0" fillId="0" borderId="14" xfId="0" applyBorder="1" applyAlignment="1" applyProtection="1">
      <alignment horizontal="center"/>
      <protection locked="0"/>
    </xf>
    <xf numFmtId="0" fontId="0" fillId="0" borderId="9" xfId="0" applyBorder="1" applyAlignment="1" applyProtection="1">
      <alignment horizontal="center"/>
      <protection locked="0"/>
    </xf>
    <xf numFmtId="0" fontId="0" fillId="0" borderId="27" xfId="0" applyBorder="1" applyAlignment="1" applyProtection="1">
      <alignment horizontal="center"/>
      <protection locked="0"/>
    </xf>
    <xf numFmtId="0" fontId="33" fillId="0" borderId="3" xfId="0" applyFont="1" applyBorder="1" applyAlignment="1" applyProtection="1">
      <alignment horizontal="center"/>
      <protection locked="0"/>
    </xf>
    <xf numFmtId="0" fontId="33" fillId="0" borderId="3" xfId="0" applyFont="1" applyBorder="1" applyAlignment="1" applyProtection="1">
      <alignment horizontal="center" vertical="center"/>
      <protection locked="0"/>
    </xf>
    <xf numFmtId="0" fontId="33" fillId="0" borderId="14" xfId="0" applyFont="1" applyBorder="1" applyAlignment="1" applyProtection="1">
      <alignment horizontal="center"/>
      <protection locked="0"/>
    </xf>
    <xf numFmtId="0" fontId="33" fillId="0" borderId="9" xfId="0" applyFont="1" applyBorder="1" applyAlignment="1" applyProtection="1">
      <alignment horizontal="center"/>
      <protection locked="0"/>
    </xf>
    <xf numFmtId="0" fontId="33" fillId="0" borderId="27" xfId="0" applyFont="1" applyBorder="1" applyAlignment="1" applyProtection="1">
      <alignment horizontal="center"/>
      <protection locked="0"/>
    </xf>
    <xf numFmtId="0" fontId="0" fillId="0" borderId="0" xfId="0" applyAlignment="1">
      <alignment horizontal="left" wrapText="1"/>
    </xf>
    <xf numFmtId="0" fontId="0" fillId="0" borderId="13" xfId="0" applyBorder="1" applyAlignment="1">
      <alignment horizontal="left" wrapText="1"/>
    </xf>
    <xf numFmtId="0" fontId="0" fillId="0" borderId="3" xfId="0" applyBorder="1" applyAlignment="1">
      <alignment horizontal="left" vertical="center" wrapText="1"/>
    </xf>
    <xf numFmtId="178" fontId="0" fillId="0" borderId="1" xfId="0" applyNumberFormat="1" applyBorder="1" applyAlignment="1" applyProtection="1">
      <alignment horizontal="right"/>
      <protection locked="0"/>
    </xf>
    <xf numFmtId="178" fontId="0" fillId="0" borderId="5" xfId="0" applyNumberFormat="1" applyBorder="1" applyAlignment="1" applyProtection="1">
      <alignment horizontal="right"/>
      <protection locked="0"/>
    </xf>
    <xf numFmtId="0" fontId="0" fillId="0" borderId="14" xfId="0" applyBorder="1" applyAlignment="1">
      <alignment horizontal="left"/>
    </xf>
    <xf numFmtId="0" fontId="0" fillId="0" borderId="9" xfId="0" applyBorder="1" applyAlignment="1">
      <alignment horizontal="left"/>
    </xf>
    <xf numFmtId="0" fontId="0" fillId="0" borderId="27" xfId="0" applyBorder="1" applyAlignment="1">
      <alignment horizontal="left"/>
    </xf>
    <xf numFmtId="178" fontId="0" fillId="0" borderId="7" xfId="0" applyNumberFormat="1" applyBorder="1" applyAlignment="1" applyProtection="1">
      <alignment horizontal="right"/>
      <protection locked="0"/>
    </xf>
    <xf numFmtId="0" fontId="0" fillId="0" borderId="3" xfId="0" applyBorder="1"/>
    <xf numFmtId="0" fontId="0" fillId="0" borderId="7" xfId="0" applyBorder="1"/>
    <xf numFmtId="0" fontId="0" fillId="0" borderId="1" xfId="0" applyBorder="1"/>
    <xf numFmtId="0" fontId="0" fillId="0" borderId="5" xfId="0" applyBorder="1"/>
    <xf numFmtId="0" fontId="0" fillId="0" borderId="14" xfId="0" applyBorder="1" applyAlignment="1">
      <alignment horizontal="left" vertical="top"/>
    </xf>
    <xf numFmtId="0" fontId="0" fillId="0" borderId="9" xfId="0" applyBorder="1" applyAlignment="1">
      <alignment horizontal="left" vertical="top"/>
    </xf>
    <xf numFmtId="0" fontId="0" fillId="0" borderId="27" xfId="0" applyBorder="1" applyAlignment="1">
      <alignment horizontal="left" vertical="top"/>
    </xf>
    <xf numFmtId="178" fontId="0" fillId="0" borderId="1" xfId="0" applyNumberFormat="1" applyBorder="1" applyProtection="1">
      <protection locked="0"/>
    </xf>
    <xf numFmtId="178" fontId="0" fillId="0" borderId="5" xfId="0" applyNumberFormat="1" applyBorder="1" applyProtection="1">
      <protection locked="0"/>
    </xf>
    <xf numFmtId="0" fontId="0" fillId="0" borderId="3" xfId="0" applyBorder="1" applyAlignment="1">
      <alignment horizontal="left" vertical="center"/>
    </xf>
    <xf numFmtId="0" fontId="16" fillId="0" borderId="0" xfId="9" applyFill="1" applyAlignment="1">
      <alignment horizontal="center" vertical="center" wrapText="1"/>
    </xf>
    <xf numFmtId="164" fontId="0" fillId="9" borderId="0" xfId="8" applyNumberFormat="1" applyFont="1" applyFill="1" applyAlignment="1">
      <alignment horizontal="left" wrapText="1"/>
    </xf>
    <xf numFmtId="0" fontId="46" fillId="4" borderId="0" xfId="8" applyFont="1" applyFill="1" applyAlignment="1">
      <alignment horizontal="center"/>
    </xf>
    <xf numFmtId="0" fontId="0" fillId="0" borderId="0" xfId="0" applyAlignment="1">
      <alignment horizontal="right"/>
    </xf>
    <xf numFmtId="49" fontId="0" fillId="0" borderId="1" xfId="0" applyNumberFormat="1" applyBorder="1" applyAlignment="1">
      <alignment horizontal="left"/>
    </xf>
    <xf numFmtId="0" fontId="3" fillId="0" borderId="0" xfId="8" applyFont="1" applyAlignment="1">
      <alignment horizontal="center"/>
    </xf>
    <xf numFmtId="38" fontId="33" fillId="0" borderId="0" xfId="0" applyNumberFormat="1" applyFont="1" applyAlignment="1">
      <alignment horizontal="center"/>
    </xf>
    <xf numFmtId="38" fontId="48" fillId="0" borderId="2" xfId="0" applyNumberFormat="1" applyFont="1" applyBorder="1" applyProtection="1">
      <protection locked="0"/>
    </xf>
    <xf numFmtId="38" fontId="48" fillId="0" borderId="7" xfId="0" applyNumberFormat="1" applyFont="1" applyBorder="1" applyProtection="1">
      <protection locked="0"/>
    </xf>
    <xf numFmtId="38" fontId="48" fillId="0" borderId="8" xfId="0" applyNumberFormat="1" applyFont="1" applyBorder="1"/>
    <xf numFmtId="38" fontId="48" fillId="0" borderId="28" xfId="0" applyNumberFormat="1" applyFont="1" applyBorder="1"/>
    <xf numFmtId="38" fontId="48" fillId="0" borderId="5" xfId="0" applyNumberFormat="1" applyFont="1" applyBorder="1" applyProtection="1">
      <protection locked="0"/>
    </xf>
  </cellXfs>
  <cellStyles count="13">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Normal 2" xfId="7" xr:uid="{00000000-0005-0000-0000-000007000000}"/>
    <cellStyle name="Normal 2 2" xfId="11" xr:uid="{00000000-0005-0000-0000-00000B000000}"/>
    <cellStyle name="Normal 2 2 2" xfId="12" xr:uid="{C2986175-82D9-4932-B5DA-87358A4A8762}"/>
    <cellStyle name="Normal 3" xfId="8" xr:uid="{00000000-0005-0000-0000-000008000000}"/>
    <cellStyle name="Normal 4" xfId="10" xr:uid="{00000000-0005-0000-0000-00000A000000}"/>
    <cellStyle name="Normal_Worksheet C" xfId="9" xr:uid="{00000000-0005-0000-0000-000009000000}"/>
    <cellStyle name="Percent" xfId="1" xr:uid="{00000000-0005-0000-0000-000001000000}"/>
  </cellStyles>
  <dxfs count="7">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2026/Harvest%20Adopted%20budget26.xlsx" TargetMode="External"/><Relationship Id="rId2" Type="http://schemas.openxmlformats.org/officeDocument/2006/relationships/externalLinkPath" Target="https://d.docs.live.net/385dbdf0a6cf8af2/Documents/Documents/FMY%20Consultants/Harvest%20Prep/2025-2026/Harvest%20Adopted%20budget26.xlsx" TargetMode="External"/><Relationship Id="rId1" Type="http://schemas.openxmlformats.org/officeDocument/2006/relationships/externalLinkPath" Target="/385dbdf0a6cf8af2/Documents/Documents/FMY%20Consultants/Harvest%20Prep/2025-2026/Harvest%20Adopted%20budget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Name val="Page 1"/>
      <sheetName val="Page 2"/>
      <sheetName val="Page 3"/>
      <sheetName val="Page 4"/>
      <sheetName val="Budget Summary"/>
      <sheetName val="Project balances"/>
      <sheetName val="Data Entry"/>
      <sheetName val="Calculations"/>
      <sheetName val="BSA55"/>
      <sheetName val="Instructions"/>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AK3Reading" refersTo="='Page 2'!$E$48"/>
      <definedName name="CIP1072P265F1000" refersTo="='Page 4'!$N$30"/>
      <definedName name="CIP1072P265F1000PPL" refersTo="='Page 4'!$G$30"/>
      <definedName name="CIP1072P265F2100" refersTo="='Page 4'!$N$32"/>
      <definedName name="CIP1072P265F2100PPL" refersTo="='Page 4'!$G$32"/>
      <definedName name="CIP1072P265F2200" refersTo="='Page 4'!$N$33"/>
      <definedName name="CIP1072P265F2200PPL" refersTo="='Page 4'!$G$33"/>
      <definedName name="CIP1072P265F2300" refersTo="='Page 4'!$N$34"/>
      <definedName name="CIP1072P265F2300PPL" refersTo="='Page 4'!$G$34"/>
      <definedName name="CIP1072P265F2400" refersTo="='Page 4'!$N$35"/>
      <definedName name="CIP1072P265F2400PPL" refersTo="='Page 4'!$G$35"/>
      <definedName name="CIP1072P265F2500" refersTo="='Page 4'!$N$36"/>
      <definedName name="CIP1072P265F2500PPL" refersTo="='Page 4'!$G$36"/>
      <definedName name="CIP1072P265F2600" refersTo="='Page 4'!$N$37"/>
      <definedName name="CIP1072P265F2600PPL" refersTo="='Page 4'!$G$37"/>
      <definedName name="CIP1072P265F2900" refersTo="='Page 4'!$N$38"/>
      <definedName name="CIP1072P265F2900PPL" refersTo="='Page 4'!$G$38"/>
      <definedName name="CIP1072P435F2700" refersTo="='Page 4'!$N$42"/>
      <definedName name="CIP1072P435F2700PPL" refersTo="='Page 4'!$G$42"/>
      <definedName name="CSPTotal" refersTo="='Page 3'!$K$13"/>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EPtransportation" refersTo="='Page 2'!$N$14"/>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1000PPL" refersTo="='Page 4'!$G$9"/>
      <definedName name="SEIP1071P260F2100" refersTo="='Page 4'!$N$11"/>
      <definedName name="SEIP1071P260F2100PPL" refersTo="='Page 4'!$G$11"/>
      <definedName name="SEIP1071P260F2200" refersTo="='Page 4'!$N$12"/>
      <definedName name="SEIP1071P260F2200PPL" refersTo="='Page 4'!$G$12"/>
      <definedName name="SEIP1071P260F2300" refersTo="='Page 4'!$N$13"/>
      <definedName name="SEIP1071P260F2300PPL" refersTo="='Page 4'!$G$13"/>
      <definedName name="SEIP1071P260F2400" refersTo="='Page 4'!$N$14"/>
      <definedName name="SEIP1071P260F2400PPL" refersTo="='Page 4'!$G$14"/>
      <definedName name="SEIP1071P260F2500" refersTo="='Page 4'!$N$15"/>
      <definedName name="SEIP1071P260F2500PPL" refersTo="='Page 4'!$G$15"/>
      <definedName name="SEIP1071P260F2600" refersTo="='Page 4'!$N$16"/>
      <definedName name="SEIP1071P260F2600PPL" refersTo="='Page 4'!$G$16"/>
      <definedName name="SEIP1071P260F2900" refersTo="='Page 4'!$N$17"/>
      <definedName name="SEIP1071P260F2900PPL" refersTo="='Page 4'!$G$17"/>
      <definedName name="SEIP1071P430F2700" refersTo="='Page 4'!$N$21"/>
      <definedName name="SEIP1071P430F2700PPL" refersTo="='Page 4'!$G$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400" refersTo="='Page 1'!$L$39"/>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 name="TotalSEIP" refersTo="='Page 4'!$N$22"/>
    </definedNames>
    <sheetDataSet>
      <sheetData sheetId="0">
        <row r="8">
          <cell r="K8" t="str">
            <v>2.</v>
          </cell>
          <cell r="L8" t="str">
            <v>Estimated revenues by source for fiscal year 2026</v>
          </cell>
        </row>
        <row r="13">
          <cell r="R13">
            <v>19800000</v>
          </cell>
        </row>
        <row r="15">
          <cell r="L15" t="str">
            <v>Charter school contact employee:</v>
          </cell>
        </row>
        <row r="16">
          <cell r="L16" t="str">
            <v>Telephone:</v>
          </cell>
        </row>
        <row r="18">
          <cell r="L18" t="str">
            <v>The FY 2026 budget file for the version described at left will be uploaded through the</v>
          </cell>
        </row>
        <row r="19">
          <cell r="L19" t="str">
            <v>School Finance Budget System on ADE's website by</v>
          </cell>
        </row>
        <row r="20">
          <cell r="L20" t="str">
            <v xml:space="preserve">    </v>
          </cell>
        </row>
        <row r="25">
          <cell r="L25" t="str">
            <v>Please enter typed school official names</v>
          </cell>
        </row>
        <row r="27">
          <cell r="L27" t="str">
            <v>School official (typed name)</v>
          </cell>
        </row>
        <row r="29">
          <cell r="L29" t="str">
            <v>Average teacher salary (A.R.S. §15-189.05)</v>
          </cell>
        </row>
        <row r="30">
          <cell r="L30" t="str">
            <v/>
          </cell>
        </row>
        <row r="32">
          <cell r="L32" t="str">
            <v>1. Average salary of all teachers employed in budget year 2026</v>
          </cell>
        </row>
        <row r="33">
          <cell r="L33" t="str">
            <v>2. Average salary of all teachers employed in prior year 2025</v>
          </cell>
        </row>
        <row r="34">
          <cell r="L34" t="str">
            <v>3. Increase in average teacher salary from the prior year 2025</v>
          </cell>
        </row>
        <row r="35">
          <cell r="L35" t="str">
            <v xml:space="preserve">4. Percentage increase </v>
          </cell>
        </row>
        <row r="36">
          <cell r="L36" t="str">
            <v>Comments on average salary calculation (optional):</v>
          </cell>
        </row>
      </sheetData>
      <sheetData sheetId="1">
        <row r="8">
          <cell r="E8">
            <v>1</v>
          </cell>
          <cell r="K8">
            <v>5960000</v>
          </cell>
          <cell r="L8">
            <v>6180000</v>
          </cell>
          <cell r="N8">
            <v>1</v>
          </cell>
        </row>
        <row r="10">
          <cell r="E10">
            <v>2</v>
          </cell>
          <cell r="K10">
            <v>785000</v>
          </cell>
          <cell r="L10">
            <v>830000</v>
          </cell>
          <cell r="N10">
            <v>2</v>
          </cell>
        </row>
        <row r="11">
          <cell r="E11">
            <v>3</v>
          </cell>
          <cell r="G11">
            <v>48000</v>
          </cell>
          <cell r="K11">
            <v>577000</v>
          </cell>
          <cell r="L11">
            <v>648000</v>
          </cell>
          <cell r="N11">
            <v>3</v>
          </cell>
        </row>
        <row r="12">
          <cell r="E12">
            <v>4</v>
          </cell>
          <cell r="K12">
            <v>105555</v>
          </cell>
          <cell r="L12">
            <v>110000</v>
          </cell>
          <cell r="N12">
            <v>4</v>
          </cell>
        </row>
        <row r="13">
          <cell r="E13">
            <v>5</v>
          </cell>
          <cell r="G13">
            <v>225000</v>
          </cell>
          <cell r="K13">
            <v>1395000</v>
          </cell>
          <cell r="L13">
            <v>1485000</v>
          </cell>
          <cell r="N13">
            <v>5</v>
          </cell>
        </row>
        <row r="14">
          <cell r="E14">
            <v>6</v>
          </cell>
          <cell r="G14">
            <v>87000</v>
          </cell>
          <cell r="L14">
            <v>1123000</v>
          </cell>
          <cell r="N14">
            <v>6</v>
          </cell>
        </row>
        <row r="15">
          <cell r="E15">
            <v>7</v>
          </cell>
          <cell r="G15">
            <v>47000</v>
          </cell>
          <cell r="L15">
            <v>2587000</v>
          </cell>
          <cell r="N15">
            <v>7</v>
          </cell>
        </row>
        <row r="16">
          <cell r="E16">
            <v>8</v>
          </cell>
          <cell r="L16">
            <v>0</v>
          </cell>
          <cell r="N16">
            <v>8</v>
          </cell>
        </row>
        <row r="17">
          <cell r="E17">
            <v>9</v>
          </cell>
          <cell r="L17">
            <v>1000000</v>
          </cell>
          <cell r="N17">
            <v>9</v>
          </cell>
        </row>
        <row r="18">
          <cell r="E18">
            <v>10</v>
          </cell>
          <cell r="L18">
            <v>0</v>
          </cell>
        </row>
        <row r="19">
          <cell r="E19">
            <v>11</v>
          </cell>
          <cell r="L19">
            <v>688516</v>
          </cell>
        </row>
        <row r="20">
          <cell r="E20">
            <v>12</v>
          </cell>
          <cell r="L20">
            <v>0</v>
          </cell>
        </row>
        <row r="21">
          <cell r="E21">
            <v>13</v>
          </cell>
          <cell r="L21">
            <v>0</v>
          </cell>
          <cell r="N21">
            <v>13</v>
          </cell>
        </row>
        <row r="22">
          <cell r="L22">
            <v>0</v>
          </cell>
          <cell r="N22">
            <v>14</v>
          </cell>
        </row>
        <row r="23">
          <cell r="N23">
            <v>15</v>
          </cell>
        </row>
        <row r="25">
          <cell r="E25">
            <v>16</v>
          </cell>
          <cell r="L25">
            <v>346000</v>
          </cell>
        </row>
        <row r="27">
          <cell r="E27">
            <v>17</v>
          </cell>
          <cell r="L27">
            <v>77000</v>
          </cell>
        </row>
        <row r="28">
          <cell r="E28">
            <v>18</v>
          </cell>
          <cell r="L28">
            <v>0</v>
          </cell>
        </row>
        <row r="29">
          <cell r="E29">
            <v>19</v>
          </cell>
          <cell r="L29">
            <v>0</v>
          </cell>
        </row>
        <row r="30">
          <cell r="E30">
            <v>20</v>
          </cell>
          <cell r="L30">
            <v>0</v>
          </cell>
          <cell r="N30">
            <v>20</v>
          </cell>
        </row>
        <row r="31">
          <cell r="L31">
            <v>0</v>
          </cell>
        </row>
        <row r="32">
          <cell r="E32">
            <v>22</v>
          </cell>
          <cell r="L32">
            <v>0</v>
          </cell>
          <cell r="N32">
            <v>22</v>
          </cell>
        </row>
        <row r="33">
          <cell r="E33">
            <v>23</v>
          </cell>
          <cell r="L33">
            <v>0</v>
          </cell>
          <cell r="N33">
            <v>23</v>
          </cell>
        </row>
        <row r="34">
          <cell r="L34">
            <v>0</v>
          </cell>
          <cell r="N34">
            <v>24</v>
          </cell>
        </row>
        <row r="35">
          <cell r="E35">
            <v>25</v>
          </cell>
          <cell r="L35">
            <v>0</v>
          </cell>
          <cell r="N35">
            <v>25</v>
          </cell>
        </row>
        <row r="36">
          <cell r="L36">
            <v>0</v>
          </cell>
          <cell r="N36">
            <v>26</v>
          </cell>
        </row>
        <row r="37">
          <cell r="G37">
            <v>62000</v>
          </cell>
          <cell r="N37">
            <v>27</v>
          </cell>
        </row>
        <row r="38">
          <cell r="N38">
            <v>28</v>
          </cell>
        </row>
        <row r="39">
          <cell r="L39">
            <v>1045000</v>
          </cell>
        </row>
        <row r="40">
          <cell r="E40">
            <v>29</v>
          </cell>
          <cell r="L40">
            <v>0</v>
          </cell>
        </row>
        <row r="41">
          <cell r="E41">
            <v>30</v>
          </cell>
          <cell r="L41">
            <v>0</v>
          </cell>
        </row>
        <row r="42">
          <cell r="E42">
            <v>31</v>
          </cell>
          <cell r="L42">
            <v>0</v>
          </cell>
          <cell r="N42">
            <v>31</v>
          </cell>
        </row>
        <row r="43">
          <cell r="E43">
            <v>32</v>
          </cell>
        </row>
        <row r="44">
          <cell r="E44">
            <v>33</v>
          </cell>
          <cell r="L44">
            <v>1500000</v>
          </cell>
        </row>
        <row r="45">
          <cell r="E45">
            <v>34</v>
          </cell>
          <cell r="L45">
            <v>120000</v>
          </cell>
        </row>
        <row r="46">
          <cell r="L46">
            <v>0</v>
          </cell>
        </row>
        <row r="47">
          <cell r="L47">
            <v>0</v>
          </cell>
        </row>
        <row r="48">
          <cell r="E48">
            <v>37</v>
          </cell>
          <cell r="L48">
            <v>1295000</v>
          </cell>
        </row>
      </sheetData>
      <sheetData sheetId="2">
        <row r="5">
          <cell r="E5">
            <v>740000</v>
          </cell>
          <cell r="N5">
            <v>423000</v>
          </cell>
        </row>
        <row r="6">
          <cell r="E6">
            <v>70000</v>
          </cell>
        </row>
        <row r="7">
          <cell r="E7">
            <v>47000</v>
          </cell>
        </row>
        <row r="9">
          <cell r="E9">
            <v>110000</v>
          </cell>
          <cell r="G9">
            <v>5</v>
          </cell>
        </row>
        <row r="11">
          <cell r="G11">
            <v>7</v>
          </cell>
        </row>
        <row r="12">
          <cell r="E12">
            <v>278000</v>
          </cell>
          <cell r="G12">
            <v>8</v>
          </cell>
          <cell r="N12">
            <v>423000</v>
          </cell>
        </row>
        <row r="14">
          <cell r="G14">
            <v>9</v>
          </cell>
        </row>
        <row r="21">
          <cell r="E21">
            <v>50000</v>
          </cell>
          <cell r="G21" t="str">
            <v>1.</v>
          </cell>
        </row>
        <row r="24">
          <cell r="N24">
            <v>120000</v>
          </cell>
        </row>
        <row r="27">
          <cell r="L27" t="str">
            <v>Selected expenses by type</v>
          </cell>
        </row>
        <row r="28">
          <cell r="L28" t="str">
            <v>(Must be included on page 1)</v>
          </cell>
        </row>
        <row r="29">
          <cell r="L29" t="str">
            <v>Audit services</v>
          </cell>
        </row>
        <row r="30">
          <cell r="L30" t="str">
            <v>Classroom instruction</v>
          </cell>
        </row>
        <row r="35">
          <cell r="N35">
            <v>50000</v>
          </cell>
        </row>
        <row r="38">
          <cell r="N38">
            <v>418320</v>
          </cell>
        </row>
        <row r="43">
          <cell r="E43">
            <v>300000</v>
          </cell>
        </row>
        <row r="44">
          <cell r="E44">
            <v>400000</v>
          </cell>
        </row>
        <row r="48">
          <cell r="E48">
            <v>700000</v>
          </cell>
        </row>
      </sheetData>
      <sheetData sheetId="3">
        <row r="8">
          <cell r="E8">
            <v>1</v>
          </cell>
          <cell r="K8">
            <v>1500000</v>
          </cell>
          <cell r="L8">
            <v>-3.2000000000000001E-2</v>
          </cell>
        </row>
        <row r="9">
          <cell r="E9">
            <v>2</v>
          </cell>
          <cell r="K9">
            <v>0</v>
          </cell>
        </row>
        <row r="10">
          <cell r="E10">
            <v>3</v>
          </cell>
          <cell r="K10">
            <v>0</v>
          </cell>
          <cell r="L10" t="str">
            <v xml:space="preserve"> </v>
          </cell>
        </row>
        <row r="11">
          <cell r="E11">
            <v>4</v>
          </cell>
          <cell r="K11">
            <v>0</v>
          </cell>
          <cell r="L11" t="str">
            <v xml:space="preserve"> </v>
          </cell>
        </row>
        <row r="12">
          <cell r="E12">
            <v>5</v>
          </cell>
          <cell r="K12">
            <v>0</v>
          </cell>
          <cell r="L12" t="str">
            <v xml:space="preserve"> </v>
          </cell>
        </row>
        <row r="13">
          <cell r="E13">
            <v>6</v>
          </cell>
          <cell r="G13">
            <v>100000</v>
          </cell>
          <cell r="K13">
            <v>1500000</v>
          </cell>
          <cell r="L13">
            <v>-3.2000000000000001E-2</v>
          </cell>
        </row>
      </sheetData>
      <sheetData sheetId="4">
        <row r="6">
          <cell r="N6">
            <v>2026</v>
          </cell>
        </row>
        <row r="9">
          <cell r="E9">
            <v>1</v>
          </cell>
          <cell r="N9">
            <v>0</v>
          </cell>
        </row>
        <row r="11">
          <cell r="E11">
            <v>2</v>
          </cell>
          <cell r="N11">
            <v>0</v>
          </cell>
        </row>
        <row r="12">
          <cell r="E12">
            <v>3</v>
          </cell>
          <cell r="N12">
            <v>0</v>
          </cell>
        </row>
        <row r="13">
          <cell r="E13">
            <v>4</v>
          </cell>
          <cell r="N13">
            <v>0</v>
          </cell>
        </row>
        <row r="14">
          <cell r="E14">
            <v>5</v>
          </cell>
          <cell r="N14">
            <v>0</v>
          </cell>
        </row>
        <row r="15">
          <cell r="E15">
            <v>6</v>
          </cell>
          <cell r="N15">
            <v>0</v>
          </cell>
        </row>
        <row r="16">
          <cell r="E16">
            <v>7</v>
          </cell>
          <cell r="N16">
            <v>0</v>
          </cell>
        </row>
        <row r="17">
          <cell r="E17">
            <v>8</v>
          </cell>
          <cell r="N17">
            <v>0</v>
          </cell>
        </row>
        <row r="18">
          <cell r="E18">
            <v>9</v>
          </cell>
          <cell r="L18">
            <v>0</v>
          </cell>
        </row>
        <row r="21">
          <cell r="E21">
            <v>10</v>
          </cell>
          <cell r="N21">
            <v>0</v>
          </cell>
        </row>
        <row r="22">
          <cell r="L22">
            <v>0</v>
          </cell>
          <cell r="N22">
            <v>0</v>
          </cell>
        </row>
        <row r="27">
          <cell r="L27">
            <v>6800</v>
          </cell>
        </row>
        <row r="30">
          <cell r="E30">
            <v>12</v>
          </cell>
          <cell r="N30">
            <v>0</v>
          </cell>
        </row>
        <row r="32">
          <cell r="E32">
            <v>13</v>
          </cell>
          <cell r="N32">
            <v>0</v>
          </cell>
        </row>
        <row r="33">
          <cell r="E33">
            <v>14</v>
          </cell>
          <cell r="N33">
            <v>0</v>
          </cell>
        </row>
        <row r="34">
          <cell r="N34">
            <v>0</v>
          </cell>
        </row>
        <row r="35">
          <cell r="E35">
            <v>16</v>
          </cell>
          <cell r="N35">
            <v>0</v>
          </cell>
        </row>
        <row r="36">
          <cell r="N36">
            <v>0</v>
          </cell>
        </row>
        <row r="37">
          <cell r="N37">
            <v>0</v>
          </cell>
        </row>
        <row r="38">
          <cell r="N38">
            <v>0</v>
          </cell>
        </row>
        <row r="39">
          <cell r="L39">
            <v>0</v>
          </cell>
        </row>
        <row r="42">
          <cell r="E42">
            <v>21</v>
          </cell>
          <cell r="N42">
            <v>0</v>
          </cell>
        </row>
        <row r="43">
          <cell r="E43">
            <v>22</v>
          </cell>
        </row>
      </sheetData>
      <sheetData sheetId="5">
        <row r="5">
          <cell r="E5">
            <v>2026</v>
          </cell>
        </row>
        <row r="6">
          <cell r="E6">
            <v>6180000</v>
          </cell>
        </row>
        <row r="8">
          <cell r="E8">
            <v>830000</v>
          </cell>
        </row>
        <row r="9">
          <cell r="E9">
            <v>648000</v>
          </cell>
          <cell r="K9" t="str">
            <v>Totals</v>
          </cell>
        </row>
        <row r="10">
          <cell r="E10">
            <v>110000</v>
          </cell>
          <cell r="K10" t="str">
            <v>Prior year</v>
          </cell>
          <cell r="L10" t="str">
            <v>Budget year</v>
          </cell>
        </row>
        <row r="11">
          <cell r="E11">
            <v>1485000</v>
          </cell>
          <cell r="K11">
            <v>2025</v>
          </cell>
          <cell r="L11">
            <v>2026</v>
          </cell>
        </row>
        <row r="12">
          <cell r="E12">
            <v>1123000</v>
          </cell>
          <cell r="K12">
            <v>421000</v>
          </cell>
          <cell r="L12">
            <v>423000</v>
          </cell>
        </row>
        <row r="13">
          <cell r="E13">
            <v>2587000</v>
          </cell>
          <cell r="K13">
            <v>0</v>
          </cell>
          <cell r="L13">
            <v>0</v>
          </cell>
        </row>
        <row r="14">
          <cell r="E14">
            <v>0</v>
          </cell>
          <cell r="L14">
            <v>0</v>
          </cell>
        </row>
        <row r="15">
          <cell r="E15">
            <v>1000000</v>
          </cell>
          <cell r="L15">
            <v>0</v>
          </cell>
        </row>
        <row r="16">
          <cell r="E16">
            <v>0</v>
          </cell>
          <cell r="L16">
            <v>0</v>
          </cell>
        </row>
        <row r="17">
          <cell r="E17">
            <v>688516</v>
          </cell>
          <cell r="L17">
            <v>0</v>
          </cell>
        </row>
        <row r="18">
          <cell r="E18">
            <v>0</v>
          </cell>
          <cell r="L18">
            <v>0</v>
          </cell>
        </row>
        <row r="19">
          <cell r="E19">
            <v>0</v>
          </cell>
          <cell r="L19">
            <v>423000</v>
          </cell>
        </row>
        <row r="20">
          <cell r="E20">
            <v>0</v>
          </cell>
        </row>
        <row r="21">
          <cell r="E21">
            <v>14651516</v>
          </cell>
        </row>
        <row r="22">
          <cell r="L22" t="str">
            <v>%</v>
          </cell>
        </row>
        <row r="25">
          <cell r="E25">
            <v>77000</v>
          </cell>
          <cell r="L25">
            <v>4.2999999999999997E-2</v>
          </cell>
        </row>
        <row r="26">
          <cell r="E26">
            <v>0</v>
          </cell>
        </row>
        <row r="27">
          <cell r="E27">
            <v>0</v>
          </cell>
          <cell r="L27">
            <v>0.66700000000000004</v>
          </cell>
        </row>
        <row r="28">
          <cell r="E28">
            <v>0</v>
          </cell>
          <cell r="L28" t="str">
            <v xml:space="preserve"> </v>
          </cell>
        </row>
        <row r="29">
          <cell r="E29">
            <v>0</v>
          </cell>
          <cell r="L29" t="str">
            <v xml:space="preserve"> </v>
          </cell>
        </row>
        <row r="30">
          <cell r="E30">
            <v>0</v>
          </cell>
          <cell r="L30">
            <v>0.13800000000000001</v>
          </cell>
        </row>
        <row r="31">
          <cell r="L31" t="str">
            <v xml:space="preserve"> </v>
          </cell>
        </row>
        <row r="32">
          <cell r="E32">
            <v>0</v>
          </cell>
          <cell r="L32">
            <v>7.6999999999999999E-2</v>
          </cell>
        </row>
        <row r="33">
          <cell r="E33">
            <v>0</v>
          </cell>
          <cell r="L33">
            <v>4.5999999999999999E-2</v>
          </cell>
        </row>
        <row r="35">
          <cell r="E35">
            <v>423000</v>
          </cell>
        </row>
        <row r="39">
          <cell r="L39">
            <v>668</v>
          </cell>
        </row>
        <row r="40">
          <cell r="E40">
            <v>0</v>
          </cell>
          <cell r="L40">
            <v>1.4999999999999999E-2</v>
          </cell>
        </row>
        <row r="41">
          <cell r="E41">
            <v>16119516</v>
          </cell>
        </row>
      </sheetData>
      <sheetData sheetId="6"/>
      <sheetData sheetId="7">
        <row r="5">
          <cell r="E5" t="str">
            <v>Select from drop-down</v>
          </cell>
        </row>
        <row r="41">
          <cell r="L41">
            <v>235</v>
          </cell>
        </row>
      </sheetData>
      <sheetData sheetId="8">
        <row r="7">
          <cell r="N7" t="str">
            <v>9-12</v>
          </cell>
        </row>
        <row r="9">
          <cell r="N9">
            <v>1.5589999999999999</v>
          </cell>
        </row>
        <row r="11">
          <cell r="L11">
            <v>500</v>
          </cell>
          <cell r="N11">
            <v>500</v>
          </cell>
        </row>
        <row r="12">
          <cell r="K12" t="str">
            <v>-</v>
          </cell>
          <cell r="L12">
            <v>0</v>
          </cell>
          <cell r="N12">
            <v>235</v>
          </cell>
        </row>
        <row r="13">
          <cell r="K13" t="str">
            <v>=</v>
          </cell>
          <cell r="L13">
            <v>0</v>
          </cell>
          <cell r="N13">
            <v>265</v>
          </cell>
        </row>
        <row r="14">
          <cell r="L14">
            <v>2.9999999999999997E-4</v>
          </cell>
          <cell r="N14">
            <v>4.0000000000000002E-4</v>
          </cell>
        </row>
        <row r="15">
          <cell r="L15">
            <v>0</v>
          </cell>
          <cell r="N15">
            <v>0.106</v>
          </cell>
        </row>
        <row r="16">
          <cell r="L16">
            <v>1.278</v>
          </cell>
          <cell r="N16">
            <v>1.3979999999999999</v>
          </cell>
        </row>
        <row r="17">
          <cell r="L17">
            <v>0</v>
          </cell>
          <cell r="N17">
            <v>1.504</v>
          </cell>
        </row>
        <row r="19">
          <cell r="L19">
            <v>600</v>
          </cell>
        </row>
        <row r="20">
          <cell r="L20">
            <v>0</v>
          </cell>
        </row>
        <row r="21">
          <cell r="L21">
            <v>0</v>
          </cell>
          <cell r="N21">
            <v>0</v>
          </cell>
        </row>
        <row r="22">
          <cell r="L22">
            <v>1.1999999999999999E-3</v>
          </cell>
          <cell r="N22">
            <v>1.2999999999999999E-3</v>
          </cell>
        </row>
        <row r="23">
          <cell r="N23">
            <v>0</v>
          </cell>
        </row>
        <row r="24">
          <cell r="N24">
            <v>1.268</v>
          </cell>
        </row>
        <row r="25">
          <cell r="L25">
            <v>0</v>
          </cell>
        </row>
        <row r="27">
          <cell r="L27">
            <v>1.1579999999999999</v>
          </cell>
        </row>
        <row r="32">
          <cell r="L32" t="str">
            <v>K-8</v>
          </cell>
          <cell r="N32" t="str">
            <v>9-12</v>
          </cell>
        </row>
        <row r="34">
          <cell r="L34">
            <v>1.399</v>
          </cell>
          <cell r="N34">
            <v>1.5589999999999999</v>
          </cell>
        </row>
        <row r="36">
          <cell r="L36">
            <v>500</v>
          </cell>
          <cell r="N36">
            <v>500</v>
          </cell>
        </row>
        <row r="37">
          <cell r="N37">
            <v>0</v>
          </cell>
        </row>
        <row r="38">
          <cell r="N38">
            <v>0</v>
          </cell>
        </row>
        <row r="39">
          <cell r="L39">
            <v>2.9999999999999997E-4</v>
          </cell>
        </row>
        <row r="40">
          <cell r="L40">
            <v>0</v>
          </cell>
        </row>
        <row r="41">
          <cell r="L41">
            <v>1.278</v>
          </cell>
        </row>
        <row r="42">
          <cell r="L42">
            <v>0</v>
          </cell>
          <cell r="N42">
            <v>0</v>
          </cell>
        </row>
        <row r="44">
          <cell r="L44">
            <v>600</v>
          </cell>
        </row>
        <row r="45">
          <cell r="L45">
            <v>0</v>
          </cell>
        </row>
        <row r="46">
          <cell r="L46">
            <v>0</v>
          </cell>
        </row>
        <row r="47">
          <cell r="L47">
            <v>1.1999999999999999E-3</v>
          </cell>
        </row>
        <row r="48">
          <cell r="L48">
            <v>0</v>
          </cell>
        </row>
      </sheetData>
      <sheetData sheetId="9">
        <row r="7">
          <cell r="E7" t="str">
            <v>Support Level 
Weight</v>
          </cell>
        </row>
        <row r="8">
          <cell r="E8">
            <v>0</v>
          </cell>
        </row>
        <row r="9">
          <cell r="E9">
            <v>1.1579999999999999</v>
          </cell>
          <cell r="G9">
            <v>0</v>
          </cell>
        </row>
        <row r="10">
          <cell r="E10">
            <v>1.504</v>
          </cell>
        </row>
        <row r="13">
          <cell r="G13">
            <v>0</v>
          </cell>
        </row>
        <row r="15">
          <cell r="E15" t="str">
            <v>Support Level 
Weight</v>
          </cell>
          <cell r="G15" t="str">
            <v>AOI-FT 
Weighted Student
Count</v>
          </cell>
        </row>
        <row r="16">
          <cell r="E16">
            <v>0.115</v>
          </cell>
          <cell r="G16">
            <v>0</v>
          </cell>
        </row>
        <row r="17">
          <cell r="E17">
            <v>0.06</v>
          </cell>
          <cell r="G17">
            <v>0</v>
          </cell>
        </row>
        <row r="18">
          <cell r="E18">
            <v>0.04</v>
          </cell>
        </row>
        <row r="19">
          <cell r="E19">
            <v>4.7709999999999999</v>
          </cell>
        </row>
        <row r="20">
          <cell r="E20">
            <v>6.024</v>
          </cell>
        </row>
        <row r="21">
          <cell r="E21">
            <v>5.9880000000000004</v>
          </cell>
          <cell r="G21">
            <v>0</v>
          </cell>
        </row>
        <row r="24">
          <cell r="E24">
            <v>6.7729999999999997</v>
          </cell>
        </row>
        <row r="25">
          <cell r="E25">
            <v>3.5950000000000002</v>
          </cell>
        </row>
        <row r="26">
          <cell r="E26">
            <v>0.29199999999999998</v>
          </cell>
        </row>
        <row r="27">
          <cell r="E27">
            <v>4.8220000000000001</v>
          </cell>
        </row>
        <row r="28">
          <cell r="E28">
            <v>4.4210000000000003</v>
          </cell>
        </row>
        <row r="29">
          <cell r="E29">
            <v>4.806</v>
          </cell>
        </row>
        <row r="30">
          <cell r="E30">
            <v>2.1999999999999999E-2</v>
          </cell>
          <cell r="G30">
            <v>0</v>
          </cell>
        </row>
        <row r="34">
          <cell r="G34">
            <v>0</v>
          </cell>
        </row>
        <row r="42">
          <cell r="E42" t="str">
            <v>AOI-FT 
Weighted Student Count</v>
          </cell>
          <cell r="G42" t="str">
            <v>AOI-PT
Weighted Student Count</v>
          </cell>
        </row>
        <row r="43">
          <cell r="E43">
            <v>0</v>
          </cell>
        </row>
        <row r="44">
          <cell r="E44">
            <v>0</v>
          </cell>
        </row>
        <row r="45">
          <cell r="E45">
            <v>0</v>
          </cell>
        </row>
      </sheetData>
      <sheetData sheetId="10"/>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azed.gov/mowr/"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file:///C:\Users\Frank\AppData\Local\AppData\Local\Microsoft\Windows\INetCache\Content.Outlook\AppData\Local\Microsoft\Windows\School%20District%20Budget\FY%202024%20Budget%20Forms\Prohibited%20formula%20characters\Files%20from%20ADE%203-27-23\EmpBenefits" TargetMode="External"/><Relationship Id="rId1" Type="http://schemas.openxmlformats.org/officeDocument/2006/relationships/hyperlink" Target="file:///C:\Users\Frank\AppData\Local\AppData\Local\Microsoft\Windows\INetCache\Content.Outlook\AppData\Local\Microsoft\Windows\School%20District%20Budget\FY%202024%20Budget%20Forms\Prohibited%20formula%20characters\Files%20from%20ADE%203-27-23\EmpBenefit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file:///C:\Users\Frank\AppData\Local\AppData\Local\Microsoft\Windows\INetCache\Content.Outlook\AppData\Local\Microsoft\Windows\School%20District%20Budget\FY%202024%20Budget%20Forms\Prohibited%20formula%20characters\Files%20from%20ADE%203-27-23\Pg3InstructionalImprovementProj"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file:///C:\Users\Frank\AppData\Local\AppData\Local\Microsoft\Windows\INetCache\Content.Outlook\AppData\Local\Microsoft\Windows\School%20District%20Budget\FY%202024%20Budget%20Forms\Prohibited%20formula%20characters\Files%20from%20ADE%203-27-23\Pg4StructuredEnglishImmersionProj" TargetMode="External"/><Relationship Id="rId1" Type="http://schemas.openxmlformats.org/officeDocument/2006/relationships/hyperlink" Target="file:///C:\Users\Frank\AppData\Local\AppData\Local\Microsoft\Windows\INetCache\Content.Outlook\AppData\Local\Microsoft\Windows\School%20District%20Budget\FY%202024%20Budget%20Forms\Prohibited%20formula%20characters\Files%20from%20ADE%203-27-23\StructuredEnglishImmersionProj"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file:///C:\Users\Frank\AppData\Local\AppData\Local\Microsoft\Windows\INetCache\Content.Outlook\AppData\Local\Microsoft\Windows\School%20District%20Budget\FY%202024%20Budget%20Forms\Prohibited%20formula%20characters\Files%20from%20ADE%203-27-23\IndividualCharterSchoolCounts" TargetMode="External"/><Relationship Id="rId2" Type="http://schemas.openxmlformats.org/officeDocument/2006/relationships/hyperlink" Target="file:///C:\Users\Frank\AppData\Local\AppData\Local\Microsoft\Windows\INetCache\Content.Outlook\AppData\Local\Microsoft\Windows\School%20District%20Budget\FY%202024%20Budget%20Forms\Prohibited%20formula%20characters\Files%20from%20ADE%203-27-23\IndividualCharterSchoolCounts" TargetMode="External"/><Relationship Id="rId1" Type="http://schemas.openxmlformats.org/officeDocument/2006/relationships/hyperlink" Target="file:///C:\Users\Frank\AppData\Local\AppData\Local\Microsoft\Windows\INetCache\Content.Outlook\AppData\Local\Microsoft\Windows\School%20District%20Budget\FY%202024%20Budget%20Forms\Prohibited%20formula%20characters\Files%20from%20ADE%203-27-23\IndividualCharterSchoolCounts" TargetMode="External"/><Relationship Id="rId5" Type="http://schemas.openxmlformats.org/officeDocument/2006/relationships/printerSettings" Target="../printerSettings/printerSettings9.bin"/><Relationship Id="rId4" Type="http://schemas.openxmlformats.org/officeDocument/2006/relationships/hyperlink" Target="file:///C:\Users\Frank\AppData\Local\AppData\Local\Microsoft\Windows\INetCache\Content.Outlook\AppData\Local\Microsoft\Windows\School%20District%20Budget\FY%202024%20Budget%20Forms\Prohibited%20formula%20characters\Files%20from%20ADE%203-27-23\IndividualCharterSchoolCou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U43"/>
  <sheetViews>
    <sheetView showGridLines="0" workbookViewId="0">
      <selection activeCell="R12" sqref="R12"/>
    </sheetView>
  </sheetViews>
  <sheetFormatPr defaultColWidth="9.28515625" defaultRowHeight="12.75" customHeight="1"/>
  <cols>
    <col min="1" max="1" width="8.28515625" customWidth="1"/>
    <col min="2" max="2" width="5.28515625" customWidth="1"/>
    <col min="3" max="3" width="4.5703125" customWidth="1"/>
    <col min="4" max="4" width="8.28515625" customWidth="1"/>
    <col min="5" max="5" width="5.28515625" customWidth="1"/>
    <col min="6" max="6" width="11.28515625" customWidth="1"/>
    <col min="7" max="7" width="6.5703125" customWidth="1"/>
    <col min="8" max="8" width="3" customWidth="1"/>
    <col min="9" max="9" width="11.28515625" customWidth="1"/>
    <col min="10" max="10" width="15" customWidth="1"/>
    <col min="12" max="12" width="9.5703125" customWidth="1"/>
    <col min="13" max="13" width="9.28515625" customWidth="1"/>
    <col min="14" max="14" width="11.28515625" customWidth="1"/>
    <col min="15" max="15" width="16" customWidth="1"/>
    <col min="16" max="16" width="10" bestFit="1" customWidth="1"/>
    <col min="17" max="17" width="3.5703125" customWidth="1"/>
    <col min="18" max="18" width="13.5703125" customWidth="1"/>
    <col min="19" max="19" width="3.5703125" customWidth="1"/>
    <col min="21" max="21" width="9.5703125" bestFit="1" customWidth="1"/>
  </cols>
  <sheetData>
    <row r="1" spans="1:18" ht="12.75" customHeight="1">
      <c r="A1" s="478" t="s">
        <v>0</v>
      </c>
      <c r="B1" s="479"/>
      <c r="C1" s="479"/>
      <c r="D1" s="472" t="s">
        <v>546</v>
      </c>
      <c r="E1" s="472"/>
      <c r="F1" s="472"/>
      <c r="G1" s="472"/>
      <c r="H1" s="472"/>
      <c r="I1" s="472"/>
      <c r="L1" s="1" t="s">
        <v>1</v>
      </c>
      <c r="M1" s="475" t="s">
        <v>549</v>
      </c>
      <c r="N1" s="475"/>
      <c r="O1" s="126" t="s">
        <v>2</v>
      </c>
      <c r="P1" s="5" t="s">
        <v>552</v>
      </c>
      <c r="Q1" s="127"/>
    </row>
    <row r="2" spans="1:18" ht="12.75" customHeight="1">
      <c r="D2" s="468" t="s">
        <v>3</v>
      </c>
      <c r="E2" s="468"/>
      <c r="F2" s="468"/>
      <c r="G2" s="468"/>
      <c r="H2" s="468"/>
      <c r="I2" s="468"/>
      <c r="M2" s="128"/>
      <c r="Q2" s="128"/>
      <c r="R2" s="2"/>
    </row>
    <row r="3" spans="1:18" ht="12.75" customHeight="1">
      <c r="D3" s="469" t="s">
        <v>551</v>
      </c>
      <c r="E3" s="469"/>
      <c r="F3" s="469"/>
      <c r="G3" s="469"/>
      <c r="H3" s="469"/>
      <c r="I3" s="469"/>
      <c r="M3" s="128"/>
      <c r="Q3" s="128"/>
      <c r="R3" s="2"/>
    </row>
    <row r="4" spans="1:18" ht="12.75" customHeight="1">
      <c r="D4" s="468" t="s">
        <v>4</v>
      </c>
      <c r="E4" s="468"/>
      <c r="F4" s="468"/>
      <c r="G4" s="468"/>
      <c r="H4" s="468"/>
      <c r="I4" s="468"/>
      <c r="L4" s="488"/>
      <c r="M4" s="488"/>
      <c r="N4" s="488"/>
      <c r="O4" s="488"/>
      <c r="P4" s="488"/>
      <c r="Q4" s="488"/>
      <c r="R4" s="488"/>
    </row>
    <row r="5" spans="1:18" ht="12.75" customHeight="1">
      <c r="A5" s="474" t="s">
        <v>460</v>
      </c>
      <c r="B5" s="474"/>
      <c r="C5" s="474"/>
      <c r="L5" s="480" t="str">
        <f>IF('Data Entry'!F6="","Please enter a SIS Vendor on the Data Entry tab.","")</f>
        <v/>
      </c>
      <c r="M5" s="480"/>
      <c r="N5" s="480"/>
      <c r="O5" s="480"/>
      <c r="P5" s="480"/>
      <c r="Q5" s="480"/>
      <c r="R5" s="480"/>
    </row>
    <row r="6" spans="1:18" ht="18" customHeight="1">
      <c r="A6" s="128"/>
      <c r="B6" s="500" t="s">
        <v>462</v>
      </c>
      <c r="C6" s="500"/>
      <c r="D6" s="500"/>
      <c r="E6" s="500"/>
      <c r="F6" s="500"/>
      <c r="G6" s="500"/>
      <c r="H6" s="500"/>
      <c r="I6" s="500"/>
      <c r="J6" s="91"/>
      <c r="K6" s="129" t="s">
        <v>5</v>
      </c>
      <c r="L6" s="501" t="s">
        <v>464</v>
      </c>
      <c r="M6" s="501"/>
      <c r="N6" s="501"/>
      <c r="O6" s="501"/>
      <c r="P6" s="501"/>
      <c r="Q6" s="405" t="s">
        <v>6</v>
      </c>
      <c r="R6" s="130">
        <f>[1]Cover!$R$13</f>
        <v>19800000</v>
      </c>
    </row>
    <row r="7" spans="1:18">
      <c r="A7" s="128"/>
      <c r="B7" s="128"/>
      <c r="C7" s="128"/>
      <c r="D7" s="128"/>
      <c r="E7" s="128"/>
      <c r="F7" s="128"/>
      <c r="G7" s="128"/>
      <c r="J7" s="91"/>
      <c r="K7" s="129"/>
      <c r="L7" s="501"/>
      <c r="M7" s="501"/>
      <c r="N7" s="501"/>
      <c r="O7" s="501"/>
      <c r="P7" s="501"/>
      <c r="Q7" s="405"/>
      <c r="R7" s="131"/>
    </row>
    <row r="8" spans="1:18" ht="18" customHeight="1">
      <c r="A8" s="128"/>
      <c r="B8" s="500" t="s">
        <v>7</v>
      </c>
      <c r="C8" s="500"/>
      <c r="D8" s="500"/>
      <c r="E8" s="500"/>
      <c r="F8" s="500"/>
      <c r="G8" s="500"/>
      <c r="H8" s="500"/>
      <c r="I8" s="500"/>
      <c r="J8" s="132"/>
      <c r="K8" s="129" t="s">
        <v>8</v>
      </c>
      <c r="L8" s="483" t="s">
        <v>470</v>
      </c>
      <c r="M8" s="483"/>
      <c r="N8" s="483"/>
      <c r="O8" s="483"/>
      <c r="P8" s="483"/>
      <c r="Q8" s="483"/>
      <c r="R8" s="131"/>
    </row>
    <row r="9" spans="1:18">
      <c r="A9" s="128"/>
      <c r="B9" s="128"/>
      <c r="C9" s="128"/>
      <c r="D9" s="128"/>
      <c r="E9" s="128"/>
      <c r="F9" s="128"/>
      <c r="G9" s="128"/>
      <c r="J9" s="91"/>
      <c r="L9" s="128"/>
      <c r="M9" s="128"/>
      <c r="N9" s="128"/>
      <c r="O9" t="s">
        <v>9</v>
      </c>
      <c r="P9" s="133" t="s">
        <v>10</v>
      </c>
      <c r="Q9" s="405" t="s">
        <v>6</v>
      </c>
      <c r="R9" s="10">
        <v>600000</v>
      </c>
    </row>
    <row r="10" spans="1:18" ht="12.75" customHeight="1">
      <c r="A10" s="128"/>
      <c r="B10" s="484" t="s">
        <v>11</v>
      </c>
      <c r="C10" s="484"/>
      <c r="D10" s="484"/>
      <c r="E10" s="484"/>
      <c r="F10" s="484"/>
      <c r="G10" s="484"/>
      <c r="H10" s="484"/>
      <c r="I10" s="484"/>
      <c r="J10" s="485"/>
      <c r="K10" s="129"/>
      <c r="L10" s="134"/>
      <c r="M10" s="134"/>
      <c r="N10" s="134"/>
      <c r="O10" t="s">
        <v>12</v>
      </c>
      <c r="P10" s="133" t="s">
        <v>13</v>
      </c>
      <c r="Q10" s="405" t="s">
        <v>6</v>
      </c>
      <c r="R10" s="10"/>
    </row>
    <row r="11" spans="1:18" ht="12.75" customHeight="1">
      <c r="A11" s="128"/>
      <c r="B11" s="484"/>
      <c r="C11" s="484"/>
      <c r="D11" s="484"/>
      <c r="E11" s="484"/>
      <c r="F11" s="484"/>
      <c r="G11" s="484"/>
      <c r="H11" s="484"/>
      <c r="I11" s="484"/>
      <c r="J11" s="485"/>
      <c r="O11" t="s">
        <v>14</v>
      </c>
      <c r="P11" s="133" t="s">
        <v>15</v>
      </c>
      <c r="Q11" s="405" t="s">
        <v>6</v>
      </c>
      <c r="R11" s="10">
        <v>18000000</v>
      </c>
    </row>
    <row r="12" spans="1:18" ht="12.75" customHeight="1">
      <c r="A12" s="128"/>
      <c r="B12" s="128"/>
      <c r="C12" s="128"/>
      <c r="D12" s="469" t="s">
        <v>25</v>
      </c>
      <c r="E12" s="469"/>
      <c r="F12" s="469"/>
      <c r="G12" s="469"/>
      <c r="H12" s="469"/>
      <c r="J12" s="91"/>
      <c r="O12" t="s">
        <v>16</v>
      </c>
      <c r="P12" s="133" t="s">
        <v>17</v>
      </c>
      <c r="Q12" s="405" t="s">
        <v>6</v>
      </c>
      <c r="R12" s="10">
        <v>2900000</v>
      </c>
    </row>
    <row r="13" spans="1:18" ht="12.75" customHeight="1">
      <c r="B13" s="503" t="s">
        <v>18</v>
      </c>
      <c r="C13" s="503"/>
      <c r="D13" s="504"/>
      <c r="E13" s="504"/>
      <c r="F13" s="504"/>
      <c r="G13" s="504"/>
      <c r="H13" s="504"/>
      <c r="I13" s="503"/>
      <c r="J13" s="91"/>
      <c r="O13" t="s">
        <v>19</v>
      </c>
      <c r="Q13" s="405" t="s">
        <v>6</v>
      </c>
      <c r="R13" s="130">
        <f>SUM(R9:R12)</f>
        <v>21500000</v>
      </c>
    </row>
    <row r="14" spans="1:18" ht="12.75" customHeight="1">
      <c r="J14" s="91"/>
      <c r="P14" s="133"/>
      <c r="Q14" s="405"/>
      <c r="R14" s="131"/>
    </row>
    <row r="15" spans="1:18" ht="12.75" customHeight="1">
      <c r="A15" s="487" t="s">
        <v>437</v>
      </c>
      <c r="B15" s="487"/>
      <c r="C15" s="487"/>
      <c r="D15" s="487"/>
      <c r="E15" s="487"/>
      <c r="F15" s="476"/>
      <c r="G15" s="476"/>
      <c r="H15" s="476"/>
      <c r="I15" s="476"/>
      <c r="J15" s="486"/>
      <c r="L15" s="481" t="s">
        <v>20</v>
      </c>
      <c r="M15" s="481"/>
      <c r="N15" s="481"/>
      <c r="O15" s="476"/>
      <c r="P15" s="476"/>
      <c r="Q15" s="476"/>
      <c r="R15" s="476"/>
    </row>
    <row r="16" spans="1:18" ht="12.75" customHeight="1">
      <c r="J16" s="91"/>
      <c r="L16" t="s">
        <v>22</v>
      </c>
      <c r="M16" s="499"/>
      <c r="N16" s="499"/>
      <c r="O16" s="405" t="s">
        <v>23</v>
      </c>
      <c r="P16" s="477"/>
      <c r="Q16" s="477"/>
      <c r="R16" s="477"/>
    </row>
    <row r="17" spans="1:21" ht="12.75" customHeight="1">
      <c r="A17" s="2"/>
      <c r="B17" s="482" t="s">
        <v>21</v>
      </c>
      <c r="C17" s="482"/>
      <c r="D17" s="482"/>
      <c r="E17" s="482"/>
      <c r="F17" s="482"/>
      <c r="G17" s="482"/>
      <c r="H17" s="482"/>
      <c r="I17" s="482"/>
      <c r="J17" s="91"/>
      <c r="P17" s="133"/>
      <c r="Q17" s="405"/>
      <c r="R17" s="131"/>
    </row>
    <row r="18" spans="1:21" ht="12.75" customHeight="1">
      <c r="J18" s="91"/>
      <c r="L18" s="481" t="s">
        <v>465</v>
      </c>
      <c r="M18" s="481"/>
      <c r="N18" s="481"/>
      <c r="O18" s="481"/>
      <c r="P18" s="481"/>
      <c r="Q18" s="481"/>
      <c r="R18" s="481"/>
    </row>
    <row r="19" spans="1:21" ht="12.75" customHeight="1">
      <c r="J19" s="91"/>
      <c r="L19" s="481" t="s">
        <v>24</v>
      </c>
      <c r="M19" s="481"/>
      <c r="N19" s="481"/>
      <c r="O19" s="481"/>
      <c r="P19" s="502"/>
      <c r="Q19" s="502"/>
      <c r="R19" s="502"/>
    </row>
    <row r="20" spans="1:21" ht="12.75" customHeight="1">
      <c r="B20" s="482" t="s">
        <v>463</v>
      </c>
      <c r="C20" s="482"/>
      <c r="D20" s="482"/>
      <c r="E20" s="482"/>
      <c r="F20" s="482"/>
      <c r="G20" s="482"/>
      <c r="H20" s="482"/>
      <c r="I20" s="482"/>
      <c r="J20" s="91"/>
      <c r="L20" s="466" t="s">
        <v>26</v>
      </c>
      <c r="M20" s="466"/>
      <c r="N20" s="466"/>
      <c r="O20" s="466"/>
      <c r="P20" s="468" t="s">
        <v>27</v>
      </c>
      <c r="Q20" s="468"/>
      <c r="R20" s="468"/>
    </row>
    <row r="21" spans="1:21" ht="12.75" customHeight="1">
      <c r="C21" s="481" t="s">
        <v>25</v>
      </c>
      <c r="D21" s="481"/>
      <c r="F21" s="502">
        <v>46206</v>
      </c>
      <c r="G21" s="502"/>
      <c r="H21" s="502"/>
      <c r="I21" s="135" t="str">
        <f>IF(AND(ISNUMBER(SEARCH("Proposed*",D12)),F21=""),"Please enter a Proposed Date","")</f>
        <v/>
      </c>
      <c r="J21" s="91"/>
      <c r="L21" s="498"/>
      <c r="M21" s="498"/>
      <c r="N21" s="498"/>
      <c r="O21" s="498"/>
      <c r="P21" s="498"/>
      <c r="Q21" s="498"/>
      <c r="R21" s="498"/>
    </row>
    <row r="22" spans="1:21" ht="12.75" customHeight="1">
      <c r="C22" s="481" t="s">
        <v>28</v>
      </c>
      <c r="D22" s="481"/>
      <c r="F22" s="473"/>
      <c r="G22" s="473"/>
      <c r="H22" s="473"/>
      <c r="I22" s="135" t="str">
        <f>IF(AND(ISNUMBER(SEARCH("Adopted*",D12)),F22=""),"Please enter an Adopted Date","")</f>
        <v/>
      </c>
      <c r="J22" s="91"/>
      <c r="L22" s="469"/>
      <c r="M22" s="469"/>
      <c r="N22" s="469"/>
      <c r="O22" s="138"/>
      <c r="P22" s="469"/>
      <c r="Q22" s="469"/>
      <c r="R22" s="469"/>
    </row>
    <row r="23" spans="1:21" ht="12.75" customHeight="1">
      <c r="A23" s="2"/>
      <c r="C23" s="481" t="s">
        <v>29</v>
      </c>
      <c r="D23" s="481"/>
      <c r="F23" s="473"/>
      <c r="G23" s="473"/>
      <c r="H23" s="473"/>
      <c r="I23" s="136" t="str">
        <f>IF(AND(ISNUMBER(SEARCH("Revised*",D12)),F23=""),"Please enter a Revised Date","")</f>
        <v/>
      </c>
      <c r="J23" s="137"/>
      <c r="L23" s="468" t="s">
        <v>31</v>
      </c>
      <c r="M23" s="468"/>
      <c r="N23" s="468"/>
      <c r="O23" s="139"/>
      <c r="P23" s="468" t="s">
        <v>31</v>
      </c>
      <c r="Q23" s="468"/>
      <c r="R23" s="468"/>
      <c r="S23" s="140"/>
      <c r="T23" s="140"/>
      <c r="U23" s="140"/>
    </row>
    <row r="24" spans="1:21" ht="12.75" customHeight="1">
      <c r="F24" s="468" t="s">
        <v>30</v>
      </c>
      <c r="G24" s="468"/>
      <c r="H24" s="468"/>
      <c r="J24" s="91"/>
    </row>
    <row r="25" spans="1:21" ht="12.75" customHeight="1">
      <c r="B25" s="3"/>
      <c r="E25" s="141"/>
      <c r="J25" s="91"/>
      <c r="L25" s="466"/>
      <c r="M25" s="466"/>
      <c r="N25" s="466"/>
      <c r="O25" s="466"/>
      <c r="P25" s="466"/>
      <c r="Q25" s="466"/>
      <c r="R25" s="466"/>
      <c r="U25" s="142"/>
    </row>
    <row r="26" spans="1:21" ht="12.75" customHeight="1">
      <c r="A26" s="470"/>
      <c r="B26" s="470"/>
      <c r="C26" s="470"/>
      <c r="D26" s="470"/>
      <c r="E26" s="470"/>
      <c r="F26" s="470"/>
      <c r="G26" s="470"/>
      <c r="H26" s="470"/>
      <c r="I26" s="470"/>
      <c r="J26" s="471"/>
      <c r="L26" s="469"/>
      <c r="M26" s="469"/>
      <c r="N26" s="469"/>
      <c r="O26" s="139"/>
      <c r="P26" s="469"/>
      <c r="Q26" s="469"/>
      <c r="R26" s="469"/>
    </row>
    <row r="27" spans="1:21" ht="12.75" customHeight="1">
      <c r="A27" s="470"/>
      <c r="B27" s="470"/>
      <c r="C27" s="470"/>
      <c r="D27" s="470"/>
      <c r="E27" s="470"/>
      <c r="F27" s="470"/>
      <c r="G27" s="470"/>
      <c r="H27" s="470"/>
      <c r="I27" s="470"/>
      <c r="J27" s="471"/>
      <c r="L27" s="468" t="s">
        <v>32</v>
      </c>
      <c r="M27" s="468"/>
      <c r="N27" s="468"/>
      <c r="O27" s="139"/>
      <c r="P27" s="468" t="s">
        <v>32</v>
      </c>
      <c r="Q27" s="468"/>
      <c r="R27" s="468"/>
    </row>
    <row r="28" spans="1:21" ht="12.75" customHeight="1">
      <c r="A28" s="470"/>
      <c r="B28" s="470"/>
      <c r="C28" s="470"/>
      <c r="D28" s="470"/>
      <c r="E28" s="470"/>
      <c r="F28" s="470"/>
      <c r="G28" s="470"/>
      <c r="H28" s="470"/>
      <c r="I28" s="470"/>
      <c r="J28" s="471"/>
    </row>
    <row r="29" spans="1:21" ht="12.75" customHeight="1">
      <c r="B29" s="2"/>
      <c r="C29" s="3"/>
      <c r="D29" s="3"/>
      <c r="F29" s="2"/>
      <c r="G29" s="143"/>
      <c r="H29" s="128"/>
      <c r="I29" s="128"/>
      <c r="J29" s="132"/>
      <c r="L29" s="464" t="s">
        <v>33</v>
      </c>
      <c r="M29" s="464"/>
      <c r="N29" s="465"/>
      <c r="O29" s="465"/>
      <c r="P29" s="465"/>
      <c r="Q29" s="465"/>
      <c r="R29" s="465"/>
      <c r="S29" s="464"/>
    </row>
    <row r="30" spans="1:21" ht="12" customHeight="1" thickBot="1">
      <c r="A30" s="469"/>
      <c r="B30" s="469"/>
      <c r="C30" s="469"/>
      <c r="D30" s="469"/>
      <c r="E30" s="469"/>
      <c r="F30" s="2"/>
      <c r="G30" s="467"/>
      <c r="H30" s="467"/>
      <c r="I30" s="467"/>
      <c r="J30" s="132"/>
      <c r="L30" s="466" t="str">
        <f>IF((BudgetYearSalary)=0,"Average teacher salary information is not complete.",IF(AND((PriorYearSalary)=0,(L31)=""),"Average teacher salary information is not complete.",""))</f>
        <v/>
      </c>
      <c r="M30" s="466"/>
      <c r="N30" s="466"/>
      <c r="O30" s="466"/>
      <c r="P30" s="466"/>
      <c r="Q30" s="466"/>
      <c r="R30" s="466"/>
      <c r="S30" s="6"/>
    </row>
    <row r="31" spans="1:21" ht="13.5" customHeight="1" thickBot="1">
      <c r="H31" s="128"/>
      <c r="I31" s="128"/>
      <c r="J31" s="132"/>
      <c r="L31" s="32"/>
      <c r="M31" s="144" t="s">
        <v>466</v>
      </c>
      <c r="N31" s="94"/>
      <c r="O31" s="94"/>
      <c r="P31" s="94"/>
      <c r="Q31" s="94"/>
      <c r="R31" s="94"/>
    </row>
    <row r="32" spans="1:21" ht="12.75" customHeight="1">
      <c r="A32" s="469"/>
      <c r="B32" s="469"/>
      <c r="C32" s="469"/>
      <c r="D32" s="469"/>
      <c r="E32" s="469"/>
      <c r="F32" s="2"/>
      <c r="G32" s="467"/>
      <c r="H32" s="467"/>
      <c r="I32" s="467"/>
      <c r="J32" s="91"/>
      <c r="L32" s="144" t="s">
        <v>467</v>
      </c>
      <c r="M32" s="145"/>
      <c r="N32" s="145"/>
      <c r="O32" s="146"/>
      <c r="P32" s="146"/>
      <c r="Q32" s="405" t="s">
        <v>6</v>
      </c>
      <c r="R32" s="26">
        <v>46168</v>
      </c>
      <c r="S32" s="147" t="str">
        <f>IF(OR(BudgetYearSalary=0,PriorYearSalary=0),1/ERROR,"")</f>
        <v/>
      </c>
    </row>
    <row r="33" spans="1:18" ht="12.75" customHeight="1">
      <c r="J33" s="91"/>
      <c r="L33" s="144" t="s">
        <v>468</v>
      </c>
      <c r="O33" s="146"/>
      <c r="P33" s="146"/>
      <c r="Q33" s="405" t="s">
        <v>6</v>
      </c>
      <c r="R33" s="10">
        <v>45168</v>
      </c>
    </row>
    <row r="34" spans="1:18" ht="12.75" customHeight="1">
      <c r="A34" s="469"/>
      <c r="B34" s="469"/>
      <c r="C34" s="469"/>
      <c r="D34" s="469"/>
      <c r="E34" s="469"/>
      <c r="F34" s="2"/>
      <c r="G34" s="467"/>
      <c r="H34" s="467"/>
      <c r="I34" s="467"/>
      <c r="J34" s="91"/>
      <c r="L34" s="144" t="s">
        <v>469</v>
      </c>
      <c r="O34" s="146"/>
      <c r="P34" s="146"/>
      <c r="Q34" s="405" t="s">
        <v>6</v>
      </c>
      <c r="R34" s="130">
        <f>R32-R33</f>
        <v>1000</v>
      </c>
    </row>
    <row r="35" spans="1:18" ht="12.75" customHeight="1">
      <c r="J35" s="91"/>
      <c r="L35" s="144" t="s">
        <v>34</v>
      </c>
      <c r="Q35" s="405"/>
      <c r="R35" s="148">
        <f>IF(PriorYearSalary&gt;0,R34/R33,0)</f>
        <v>2.1999999999999999E-2</v>
      </c>
    </row>
    <row r="36" spans="1:18" ht="12.75" customHeight="1">
      <c r="A36" s="469"/>
      <c r="B36" s="469"/>
      <c r="C36" s="469"/>
      <c r="D36" s="469"/>
      <c r="E36" s="469"/>
      <c r="F36" s="2"/>
      <c r="G36" s="467"/>
      <c r="H36" s="467"/>
      <c r="I36" s="467"/>
      <c r="J36" s="91"/>
      <c r="L36" s="489" t="s">
        <v>35</v>
      </c>
      <c r="M36" s="490"/>
      <c r="N36" s="490"/>
      <c r="O36" s="490"/>
      <c r="P36" s="490"/>
      <c r="Q36" s="490"/>
      <c r="R36" s="491"/>
    </row>
    <row r="37" spans="1:18" ht="12.75" customHeight="1">
      <c r="D37" s="128"/>
      <c r="E37" s="128"/>
      <c r="F37" s="128"/>
      <c r="G37" s="128"/>
      <c r="J37" s="91"/>
      <c r="K37" s="53"/>
      <c r="L37" s="492"/>
      <c r="M37" s="493"/>
      <c r="N37" s="493"/>
      <c r="O37" s="493"/>
      <c r="P37" s="493"/>
      <c r="Q37" s="493"/>
      <c r="R37" s="494"/>
    </row>
    <row r="38" spans="1:18" ht="12.75" customHeight="1">
      <c r="A38" s="469"/>
      <c r="B38" s="469"/>
      <c r="C38" s="469"/>
      <c r="D38" s="469"/>
      <c r="E38" s="469"/>
      <c r="F38" s="2"/>
      <c r="G38" s="467"/>
      <c r="H38" s="467"/>
      <c r="I38" s="467"/>
      <c r="K38" s="53"/>
      <c r="L38" s="492"/>
      <c r="M38" s="493"/>
      <c r="N38" s="493"/>
      <c r="O38" s="493"/>
      <c r="P38" s="493"/>
      <c r="Q38" s="493"/>
      <c r="R38" s="494"/>
    </row>
    <row r="39" spans="1:18" ht="12.75" customHeight="1">
      <c r="D39" s="128"/>
      <c r="E39" s="128"/>
      <c r="F39" s="128"/>
      <c r="G39" s="128"/>
      <c r="K39" s="53"/>
      <c r="L39" s="492"/>
      <c r="M39" s="493"/>
      <c r="N39" s="493"/>
      <c r="O39" s="493"/>
      <c r="P39" s="493"/>
      <c r="Q39" s="493"/>
      <c r="R39" s="494"/>
    </row>
    <row r="40" spans="1:18" ht="12.75" customHeight="1">
      <c r="A40" s="469"/>
      <c r="B40" s="469"/>
      <c r="C40" s="469"/>
      <c r="D40" s="469"/>
      <c r="E40" s="469"/>
      <c r="F40" s="2"/>
      <c r="G40" s="467"/>
      <c r="H40" s="467"/>
      <c r="I40" s="467"/>
      <c r="K40" s="53"/>
      <c r="L40" s="492"/>
      <c r="M40" s="493"/>
      <c r="N40" s="493"/>
      <c r="O40" s="493"/>
      <c r="P40" s="493"/>
      <c r="Q40" s="493"/>
      <c r="R40" s="494"/>
    </row>
    <row r="41" spans="1:18" ht="12.75" customHeight="1">
      <c r="D41" s="128"/>
      <c r="E41" s="128"/>
      <c r="F41" s="128"/>
      <c r="G41" s="128"/>
      <c r="K41" s="53"/>
      <c r="L41" s="492"/>
      <c r="M41" s="493"/>
      <c r="N41" s="493"/>
      <c r="O41" s="493"/>
      <c r="P41" s="493"/>
      <c r="Q41" s="493"/>
      <c r="R41" s="494"/>
    </row>
    <row r="42" spans="1:18" ht="12.75" customHeight="1">
      <c r="A42" s="469"/>
      <c r="B42" s="469"/>
      <c r="C42" s="469"/>
      <c r="D42" s="469"/>
      <c r="E42" s="469"/>
      <c r="F42" s="2"/>
      <c r="G42" s="467"/>
      <c r="H42" s="467"/>
      <c r="I42" s="467"/>
      <c r="K42" s="53"/>
      <c r="L42" s="495"/>
      <c r="M42" s="496"/>
      <c r="N42" s="496"/>
      <c r="O42" s="496"/>
      <c r="P42" s="496"/>
      <c r="Q42" s="496"/>
      <c r="R42" s="497"/>
    </row>
    <row r="43" spans="1:18" ht="12.75" customHeight="1">
      <c r="A43" s="468" t="s">
        <v>36</v>
      </c>
      <c r="B43" s="468"/>
      <c r="C43" s="468"/>
      <c r="D43" s="468"/>
      <c r="E43" s="468"/>
      <c r="F43" s="149"/>
      <c r="G43" s="468" t="s">
        <v>37</v>
      </c>
      <c r="H43" s="468"/>
      <c r="I43" s="468"/>
    </row>
  </sheetData>
  <sheetProtection formatColumns="0" formatRows="0"/>
  <mergeCells count="71">
    <mergeCell ref="L4:R4"/>
    <mergeCell ref="L36:R42"/>
    <mergeCell ref="L21:R21"/>
    <mergeCell ref="M16:N16"/>
    <mergeCell ref="B6:I6"/>
    <mergeCell ref="B8:I8"/>
    <mergeCell ref="B10:I10"/>
    <mergeCell ref="L6:P6"/>
    <mergeCell ref="L7:P7"/>
    <mergeCell ref="P19:R19"/>
    <mergeCell ref="L25:R25"/>
    <mergeCell ref="F21:H21"/>
    <mergeCell ref="C22:D22"/>
    <mergeCell ref="P20:R20"/>
    <mergeCell ref="L20:O20"/>
    <mergeCell ref="B13:I13"/>
    <mergeCell ref="L15:N15"/>
    <mergeCell ref="L22:N22"/>
    <mergeCell ref="L18:R18"/>
    <mergeCell ref="L8:Q8"/>
    <mergeCell ref="B11:I11"/>
    <mergeCell ref="L19:O19"/>
    <mergeCell ref="J10:J11"/>
    <mergeCell ref="F15:J15"/>
    <mergeCell ref="A15:E15"/>
    <mergeCell ref="M1:N1"/>
    <mergeCell ref="L27:N27"/>
    <mergeCell ref="O15:R15"/>
    <mergeCell ref="A27:J27"/>
    <mergeCell ref="P16:R16"/>
    <mergeCell ref="A1:C1"/>
    <mergeCell ref="L26:N26"/>
    <mergeCell ref="L5:R5"/>
    <mergeCell ref="C21:D21"/>
    <mergeCell ref="A26:J26"/>
    <mergeCell ref="F22:H22"/>
    <mergeCell ref="C23:D23"/>
    <mergeCell ref="B17:I17"/>
    <mergeCell ref="B20:I20"/>
    <mergeCell ref="P22:R22"/>
    <mergeCell ref="L23:N23"/>
    <mergeCell ref="D1:I1"/>
    <mergeCell ref="D2:I2"/>
    <mergeCell ref="D3:I3"/>
    <mergeCell ref="G38:I38"/>
    <mergeCell ref="D12:H12"/>
    <mergeCell ref="D4:I4"/>
    <mergeCell ref="G34:I34"/>
    <mergeCell ref="F23:H23"/>
    <mergeCell ref="A32:E32"/>
    <mergeCell ref="A30:E30"/>
    <mergeCell ref="A36:E36"/>
    <mergeCell ref="G36:I36"/>
    <mergeCell ref="A34:E34"/>
    <mergeCell ref="G32:I32"/>
    <mergeCell ref="G30:I30"/>
    <mergeCell ref="A5:C5"/>
    <mergeCell ref="A43:E43"/>
    <mergeCell ref="A38:E38"/>
    <mergeCell ref="A40:E40"/>
    <mergeCell ref="G42:I42"/>
    <mergeCell ref="G43:I43"/>
    <mergeCell ref="A42:E42"/>
    <mergeCell ref="L29:S29"/>
    <mergeCell ref="L30:R30"/>
    <mergeCell ref="G40:I40"/>
    <mergeCell ref="P23:R23"/>
    <mergeCell ref="P27:R27"/>
    <mergeCell ref="P26:R26"/>
    <mergeCell ref="A28:J28"/>
    <mergeCell ref="F24:H24"/>
  </mergeCells>
  <dataValidations count="9">
    <dataValidation type="list" allowBlank="1" showErrorMessage="1" errorTitle="Invalid Entry" error="Please select the budget version from the drop down list." sqref="D12:H12" xr:uid="{00000000-0002-0000-0100-000000000000}">
      <formula1>"Proposed, Adopted, Revised #1, Revised #2, Revised #3, Revised #4"</formula1>
    </dataValidation>
    <dataValidation type="date" operator="greaterThan" allowBlank="1" showInputMessage="1" showErrorMessage="1" errorTitle="Date" error="Enter a Valid Date_x000a_MM/DD/YYYY" promptTitle="Enter Date as" prompt="MM/DD/YYYY" sqref="F21:H21" xr:uid="{00000000-0002-0000-0100-000001000000}">
      <formula1>43241</formula1>
    </dataValidation>
    <dataValidation type="date" operator="greaterThan" allowBlank="1" showInputMessage="1" showErrorMessage="1" errorTitle="Date" error="Revision date must be greater than adopted date" promptTitle="Enter Date as" prompt="MM/DD/YYYY" sqref="F23:H23" xr:uid="{00000000-0002-0000-0100-000002000000}">
      <formula1>F22</formula1>
    </dataValidation>
    <dataValidation type="date" operator="greaterThan" allowBlank="1" showInputMessage="1" showErrorMessage="1" errorTitle="Date" error="Adopted date must be greater than proposed date" promptTitle="Enter Date as" prompt="MM/DD/YYYY" sqref="F22:H22" xr:uid="{00000000-0002-0000-0100-000003000000}">
      <formula1>F21</formula1>
    </dataValidation>
    <dataValidation type="date" operator="greaterThan" allowBlank="1" showInputMessage="1" showErrorMessage="1" errorTitle="Date" error="Enter a Valid Date MM/DD/YYYY" promptTitle="Enter Date as" prompt="MM/DD/YYYY" sqref="P19:R19" xr:uid="{00000000-0002-0000-0100-000004000000}">
      <formula1>43241</formula1>
    </dataValidation>
    <dataValidation type="custom" allowBlank="1" showInputMessage="1" showErrorMessage="1" errorTitle="Telephone Number" error="This cell will only accept entries with 10 digits, no dashes or parenthesis." promptTitle="Telephone Number" prompt="Telephone number will format automatically. Enter number with no dashes or parenthesis." sqref="M16:N16" xr:uid="{00000000-0002-0000-0100-000005000000}">
      <formula1>AND(ISNUMBER(M16),LEN(M16)=10)</formula1>
    </dataValidation>
    <dataValidation allowBlank="1" showInputMessage="1" showErrorMessage="1" errorTitle="Email Address" error="Please enter a valid email address" promptTitle="Email Address" prompt="Please enter a valid email address." sqref="P16:R16" xr:uid="{00000000-0002-0000-0100-000006000000}"/>
    <dataValidation type="list" allowBlank="1" showInputMessage="1" showErrorMessage="1" sqref="L31" xr:uid="{00000000-0002-0000-0100-000007000000}">
      <formula1>"X"</formula1>
    </dataValidation>
    <dataValidation type="textLength" operator="equal" allowBlank="1" showInputMessage="1" showErrorMessage="1" error="This cell will only accept entries of 9 digits.  Enter your CTD number plus 3 zeros." sqref="P1" xr:uid="{838CD4C3-FFC5-4B33-9323-CE54998A8C82}">
      <formula1>9</formula1>
    </dataValidation>
  </dataValidations>
  <hyperlinks>
    <hyperlink ref="B13:I13" location="Version" display="Version" xr:uid="{00000000-0004-0000-0100-000000000000}"/>
    <hyperlink ref="L8:Q8" location="EstimatedRevenues" display="Estimated revenues by source for fiscal year 2027" xr:uid="{00000000-0004-0000-0100-000001000000}"/>
    <hyperlink ref="L29:S29" location="AverageTeacherSalaries" display="AVERAGE TEACHER SALARY (A.R.S. §15-189.05)" xr:uid="{00000000-0004-0000-0100-000002000000}"/>
    <hyperlink ref="O1" location="CTDSNumber" display="CTDS number" xr:uid="{00000000-0004-0000-0100-000003000000}"/>
    <hyperlink ref="A15:E15" location="websitelink" display="Charter website link of posted budget" xr:uid="{00000000-0004-0000-0100-000004000000}"/>
    <hyperlink ref="A5" location="CoverGen" display="Instructions" xr:uid="{00000000-0004-0000-0100-000005000000}"/>
  </hyperlinks>
  <printOptions horizontalCentered="1" verticalCentered="1"/>
  <pageMargins left="0.75" right="0.5" top="0.25" bottom="0.25" header="0" footer="0"/>
  <pageSetup scale="75" orientation="landscape" r:id="rId1"/>
  <headerFooter>
    <oddFooter>&amp;L&amp;"Arial,Bold"Rev. 5/26 Arizona Department of Education and Auditor General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179"/>
  <sheetViews>
    <sheetView showGridLines="0" topLeftCell="A48" zoomScale="81" workbookViewId="0"/>
  </sheetViews>
  <sheetFormatPr defaultColWidth="9" defaultRowHeight="12.75"/>
  <cols>
    <col min="1" max="1" width="43.5703125" style="121" bestFit="1" customWidth="1"/>
    <col min="2" max="2" width="22.28515625" style="121" bestFit="1" customWidth="1"/>
    <col min="3" max="3" width="22.28515625" style="121" customWidth="1"/>
    <col min="4" max="4" width="22.28515625" style="121" bestFit="1" customWidth="1"/>
    <col min="5" max="5" width="22.28515625" style="121" customWidth="1"/>
    <col min="6" max="6" width="17.28515625" style="121" customWidth="1"/>
    <col min="7" max="7" width="22.28515625" style="121" customWidth="1"/>
    <col min="8" max="8" width="17.5703125" style="121" bestFit="1" customWidth="1"/>
    <col min="9" max="9" width="14.28515625" style="121" customWidth="1"/>
    <col min="10" max="10" width="14.5703125" style="121" customWidth="1"/>
    <col min="11" max="16" width="9" style="121" customWidth="1"/>
    <col min="17" max="16384" width="9" style="121"/>
  </cols>
  <sheetData>
    <row r="1" spans="1:10">
      <c r="A1" s="36" t="s">
        <v>0</v>
      </c>
      <c r="B1" s="505" t="str">
        <f>CharterName</f>
        <v>Harvest Power Community Development Group</v>
      </c>
      <c r="C1" s="505"/>
      <c r="D1" s="36" t="s">
        <v>1</v>
      </c>
      <c r="E1" s="623" t="str">
        <f>Cover!M1</f>
        <v>Yuma</v>
      </c>
      <c r="F1" s="505"/>
      <c r="G1" s="505"/>
      <c r="H1" s="36" t="s">
        <v>2</v>
      </c>
      <c r="I1" s="506" t="str">
        <f>CTD</f>
        <v>148760000</v>
      </c>
      <c r="J1" s="506"/>
    </row>
    <row r="2" spans="1:10">
      <c r="A2" s="36"/>
      <c r="B2" s="155"/>
      <c r="C2" s="2"/>
      <c r="D2" s="36"/>
      <c r="E2" s="155"/>
      <c r="F2" s="2"/>
      <c r="G2" s="2"/>
      <c r="H2"/>
      <c r="I2" s="36"/>
      <c r="J2" s="2"/>
    </row>
    <row r="3" spans="1:10">
      <c r="A3" s="624" t="str">
        <f>IF(CharterName&lt;&gt;0,CharterName,"")</f>
        <v>Harvest Power Community Development Group</v>
      </c>
      <c r="B3" s="624"/>
      <c r="C3" s="624"/>
      <c r="D3" s="624"/>
      <c r="E3" s="624"/>
      <c r="F3" s="624"/>
      <c r="G3" s="624"/>
      <c r="H3" s="624"/>
      <c r="I3" s="624"/>
      <c r="J3" s="624"/>
    </row>
    <row r="4" spans="1:10">
      <c r="A4" s="484" t="s">
        <v>325</v>
      </c>
      <c r="B4" s="484"/>
      <c r="C4" s="484"/>
      <c r="D4" s="484"/>
      <c r="E4" s="484"/>
      <c r="F4" s="484"/>
      <c r="G4" s="484"/>
      <c r="H4" s="484"/>
      <c r="I4" s="484"/>
      <c r="J4" s="484"/>
    </row>
    <row r="5" spans="1:10">
      <c r="A5" s="484" t="s">
        <v>462</v>
      </c>
      <c r="B5" s="484"/>
      <c r="C5" s="484"/>
      <c r="D5" s="484"/>
      <c r="E5" s="484"/>
      <c r="F5" s="484"/>
      <c r="G5" s="484"/>
      <c r="H5" s="484"/>
      <c r="I5" s="484"/>
      <c r="J5" s="484"/>
    </row>
    <row r="6" spans="1:10" s="122" customFormat="1" ht="13.5" thickBot="1">
      <c r="A6" s="156"/>
      <c r="B6" s="156"/>
      <c r="C6" s="156"/>
      <c r="D6" s="156"/>
      <c r="E6" s="156"/>
      <c r="F6" s="156"/>
      <c r="G6" s="156"/>
      <c r="H6" s="156"/>
      <c r="I6" s="156"/>
      <c r="J6" s="157" t="s">
        <v>326</v>
      </c>
    </row>
    <row r="7" spans="1:10" ht="51">
      <c r="A7" s="1" t="s">
        <v>327</v>
      </c>
      <c r="B7" s="158" t="s">
        <v>328</v>
      </c>
      <c r="C7" s="158" t="s">
        <v>329</v>
      </c>
      <c r="D7" s="158" t="s">
        <v>330</v>
      </c>
      <c r="E7" s="158" t="s">
        <v>331</v>
      </c>
      <c r="F7" s="158" t="s">
        <v>332</v>
      </c>
      <c r="G7" s="158" t="s">
        <v>333</v>
      </c>
      <c r="H7" s="158" t="s">
        <v>334</v>
      </c>
      <c r="I7"/>
      <c r="J7"/>
    </row>
    <row r="8" spans="1:10">
      <c r="A8" s="124" t="s">
        <v>251</v>
      </c>
      <c r="B8" s="159">
        <f>NonAOIStudCntPSDCY</f>
        <v>0</v>
      </c>
      <c r="C8" s="159">
        <v>0</v>
      </c>
      <c r="D8" s="159">
        <v>0</v>
      </c>
      <c r="E8" s="159">
        <f>IF(AND(B8=0,C8=0,D8=0),0,1.45)</f>
        <v>0</v>
      </c>
      <c r="F8" s="159">
        <f>B8*E8</f>
        <v>0</v>
      </c>
      <c r="G8" s="159">
        <f>E8*C8</f>
        <v>0</v>
      </c>
      <c r="H8" s="159">
        <f>E8*D8</f>
        <v>0</v>
      </c>
      <c r="I8"/>
      <c r="J8"/>
    </row>
    <row r="9" spans="1:10">
      <c r="A9" s="124" t="s">
        <v>335</v>
      </c>
      <c r="B9" s="159">
        <f>NonAOIStudCntK8CY</f>
        <v>1375</v>
      </c>
      <c r="C9" s="159">
        <f>AOIFTStudCntK8CY</f>
        <v>0</v>
      </c>
      <c r="D9" s="159">
        <f>AOIPTStudCntK8CY</f>
        <v>0</v>
      </c>
      <c r="E9" s="159">
        <f>IF(AND(B9=0,C9=0,D9=0),0,IF(OR('Data Entry'!B29="X",'Data Entry'!B30="X",'Data Entry'!B31="X",'Data Entry'!B32="X"),Calculations!L58,Calculations!L57))</f>
        <v>1.1579999999999999</v>
      </c>
      <c r="F9" s="159">
        <f>B9*E9</f>
        <v>1592.25</v>
      </c>
      <c r="G9" s="159">
        <f>E9*C9</f>
        <v>0</v>
      </c>
      <c r="H9" s="159">
        <f>E9*D9</f>
        <v>0</v>
      </c>
      <c r="I9"/>
      <c r="J9"/>
    </row>
    <row r="10" spans="1:10">
      <c r="A10" s="124" t="s">
        <v>253</v>
      </c>
      <c r="B10" s="159">
        <f>NonAOIStudCnt912CY</f>
        <v>300</v>
      </c>
      <c r="C10" s="159">
        <f>AOIFTStudCnt912CY</f>
        <v>0</v>
      </c>
      <c r="D10" s="159">
        <f>AOIPTStudCnt912CY</f>
        <v>0</v>
      </c>
      <c r="E10" s="159">
        <f>IF(AND(B10=0,C10=0,D10=0),0,IF(OR('Data Entry'!B29="X",'Data Entry'!B30="X",'Data Entry'!B31="X",'Data Entry'!B32="X"),Calculations!N58,Calculations!N57))</f>
        <v>1.478</v>
      </c>
      <c r="F10" s="159">
        <f>B10*E10</f>
        <v>443.4</v>
      </c>
      <c r="G10" s="159">
        <f>E10*C10</f>
        <v>0</v>
      </c>
      <c r="H10" s="159">
        <f>E10*D10</f>
        <v>0</v>
      </c>
      <c r="I10"/>
      <c r="J10"/>
    </row>
    <row r="11" spans="1:10">
      <c r="A11" s="160" t="s">
        <v>336</v>
      </c>
      <c r="B11" s="161">
        <f>SUM(B8:B10)</f>
        <v>1675</v>
      </c>
      <c r="C11" s="162">
        <f>SUM(C8:C10)</f>
        <v>0</v>
      </c>
      <c r="D11" s="162">
        <f>SUM(D8:D10)</f>
        <v>0</v>
      </c>
      <c r="E11" s="163"/>
      <c r="F11" s="163"/>
      <c r="G11" s="163"/>
      <c r="H11" s="163"/>
      <c r="I11"/>
      <c r="J11"/>
    </row>
    <row r="12" spans="1:10" ht="12.75" customHeight="1">
      <c r="A12" s="164" t="s">
        <v>337</v>
      </c>
      <c r="B12" s="165"/>
      <c r="C12" s="163"/>
      <c r="D12" s="162">
        <f>SUM(B11:D11)</f>
        <v>1675</v>
      </c>
      <c r="E12" s="163"/>
      <c r="F12" s="163"/>
      <c r="G12" s="163"/>
      <c r="H12" s="163"/>
      <c r="I12"/>
      <c r="J12"/>
    </row>
    <row r="13" spans="1:10" ht="12.75" customHeight="1">
      <c r="A13" s="94" t="s">
        <v>338</v>
      </c>
      <c r="B13" s="166"/>
      <c r="C13" s="163"/>
      <c r="D13" s="163"/>
      <c r="E13" s="163"/>
      <c r="F13" s="162">
        <f>((B8*E8)+(B9*E9)+(B10*E10))</f>
        <v>2035.65</v>
      </c>
      <c r="G13" s="162">
        <f>((C8*E8)+(C9*E9)+(C10*E10))</f>
        <v>0</v>
      </c>
      <c r="H13" s="162">
        <f>((D8*E8)+(D9*E9)+(D10*E10))</f>
        <v>0</v>
      </c>
      <c r="I13"/>
      <c r="J13"/>
    </row>
    <row r="14" spans="1:10" ht="12.75" customHeight="1" thickBot="1">
      <c r="A14" s="167" t="s">
        <v>339</v>
      </c>
      <c r="B14" s="168"/>
      <c r="C14" s="168"/>
      <c r="D14" s="168"/>
      <c r="E14" s="168"/>
      <c r="F14" s="169"/>
      <c r="G14" s="169"/>
      <c r="H14" s="170">
        <f>((B8*E8)+(B9*E9)+(B10*E10))+((C8*E8)+(C9*E9)+(C10*E10))+((D8*E8)+(D9*E9)+(D10*E10))</f>
        <v>2035.65</v>
      </c>
      <c r="I14" s="156"/>
      <c r="J14" s="156"/>
    </row>
    <row r="15" spans="1:10" ht="39" customHeight="1">
      <c r="A15" s="171" t="s">
        <v>340</v>
      </c>
      <c r="B15" s="172" t="s">
        <v>328</v>
      </c>
      <c r="C15" s="172" t="s">
        <v>329</v>
      </c>
      <c r="D15" s="172" t="s">
        <v>330</v>
      </c>
      <c r="E15" s="172" t="s">
        <v>331</v>
      </c>
      <c r="F15" s="172" t="s">
        <v>332</v>
      </c>
      <c r="G15" s="172" t="s">
        <v>333</v>
      </c>
      <c r="H15" s="172" t="s">
        <v>334</v>
      </c>
      <c r="I15"/>
      <c r="J15"/>
    </row>
    <row r="16" spans="1:10">
      <c r="A16" s="2" t="s">
        <v>341</v>
      </c>
      <c r="B16" s="159">
        <f>NonAOIStudCntELL</f>
        <v>742</v>
      </c>
      <c r="C16" s="159">
        <f>AOIFTStudCntELL</f>
        <v>0</v>
      </c>
      <c r="D16" s="159">
        <f>AOIPTStudCntELL</f>
        <v>0</v>
      </c>
      <c r="E16" s="159">
        <v>0.115</v>
      </c>
      <c r="F16" s="159">
        <f>E16*NonAOIStudCntELL</f>
        <v>85.33</v>
      </c>
      <c r="G16" s="159">
        <f>E16*AOIFTStudCntELL</f>
        <v>0</v>
      </c>
      <c r="H16" s="159">
        <f>E16*AOIPTStudCntELL</f>
        <v>0</v>
      </c>
      <c r="I16"/>
      <c r="J16"/>
    </row>
    <row r="17" spans="1:10">
      <c r="A17" s="2" t="s">
        <v>267</v>
      </c>
      <c r="B17" s="159">
        <f>NonAOIStudCntK3</f>
        <v>505</v>
      </c>
      <c r="C17" s="159">
        <f>AOIFTStudCntK3</f>
        <v>0</v>
      </c>
      <c r="D17" s="159">
        <f>AOIPTStudCntK3</f>
        <v>0</v>
      </c>
      <c r="E17" s="159">
        <v>0.06</v>
      </c>
      <c r="F17" s="159">
        <f>E17*NonAOIStudCntK3</f>
        <v>30.3</v>
      </c>
      <c r="G17" s="159">
        <f>E17*AOIFTStudCntK3</f>
        <v>0</v>
      </c>
      <c r="H17" s="159">
        <f>E17*AOIPTStudCntK3</f>
        <v>0</v>
      </c>
      <c r="I17"/>
      <c r="J17"/>
    </row>
    <row r="18" spans="1:10" ht="12.75" customHeight="1">
      <c r="A18" s="2" t="s">
        <v>342</v>
      </c>
      <c r="B18" s="159">
        <f>NonAOIStudCntK3Read</f>
        <v>505</v>
      </c>
      <c r="C18" s="159">
        <f>AOIFTStudCntK3Read</f>
        <v>0</v>
      </c>
      <c r="D18" s="159">
        <f>AOIPTStudCntK3Read</f>
        <v>0</v>
      </c>
      <c r="E18" s="159">
        <v>0.04</v>
      </c>
      <c r="F18" s="159">
        <f>E18*NonAOIStudCntK3Read</f>
        <v>20.2</v>
      </c>
      <c r="G18" s="159">
        <f>E18*AOIFTStudCntK3Read</f>
        <v>0</v>
      </c>
      <c r="H18" s="159">
        <f>E18*AOIPTStudCntK3Read</f>
        <v>0</v>
      </c>
      <c r="I18"/>
      <c r="J18"/>
    </row>
    <row r="19" spans="1:10" ht="11.25" customHeight="1">
      <c r="A19" s="2" t="s">
        <v>343</v>
      </c>
      <c r="B19" s="159">
        <f>NonAOIStudCntHI</f>
        <v>1</v>
      </c>
      <c r="C19" s="159">
        <f>AOIFTStudCntHI</f>
        <v>0</v>
      </c>
      <c r="D19" s="159">
        <f>AOIPTStudCntHI</f>
        <v>0</v>
      </c>
      <c r="E19" s="159">
        <v>4.7709999999999999</v>
      </c>
      <c r="F19" s="159">
        <f>E19*NonAOIStudCntHI</f>
        <v>4.7709999999999999</v>
      </c>
      <c r="G19" s="159">
        <f>E19*AOIFTStudCntHI</f>
        <v>0</v>
      </c>
      <c r="H19" s="159">
        <f>E19*AOIPTStudCntHI</f>
        <v>0</v>
      </c>
      <c r="I19"/>
      <c r="J19"/>
    </row>
    <row r="20" spans="1:10">
      <c r="A20" s="173" t="s">
        <v>344</v>
      </c>
      <c r="B20" s="159">
        <f>NonAOIStudCntMDR.AR.SIDR</f>
        <v>15</v>
      </c>
      <c r="C20" s="159">
        <f>AOIFTStudCntMDR.AR.SIDR</f>
        <v>0</v>
      </c>
      <c r="D20" s="159">
        <f>AOIPTStudCntMDR.AR.SIDR</f>
        <v>0</v>
      </c>
      <c r="E20" s="159">
        <v>6.024</v>
      </c>
      <c r="F20" s="159">
        <f>E20*NonAOIStudCntMDR.AR.SIDR</f>
        <v>90.36</v>
      </c>
      <c r="G20" s="159">
        <f>E20*AOIFTStudCntMDR.AR.SIDR</f>
        <v>0</v>
      </c>
      <c r="H20" s="159">
        <f>E20*AOIPTStudCntMDR.AR.SIDR</f>
        <v>0</v>
      </c>
      <c r="I20"/>
      <c r="J20"/>
    </row>
    <row r="21" spans="1:10" ht="12.75" customHeight="1">
      <c r="A21" s="173" t="s">
        <v>345</v>
      </c>
      <c r="B21" s="159">
        <f>NonAOIStudCntMDSC.ASC.SIDSC</f>
        <v>1</v>
      </c>
      <c r="C21" s="159">
        <f>AOIFTStudCntMDSC.ASC.SIDSC</f>
        <v>0</v>
      </c>
      <c r="D21" s="159">
        <f>AOIPTStudCntMDSC.ASC.SIDSC</f>
        <v>0</v>
      </c>
      <c r="E21" s="159">
        <v>5.9880000000000004</v>
      </c>
      <c r="F21" s="159">
        <f>E21*NonAOIStudCntMDSC.ASC.SIDSC</f>
        <v>5.9880000000000004</v>
      </c>
      <c r="G21" s="159">
        <f>E21*AOIFTStudCntMDSC.ASC.SIDSC</f>
        <v>0</v>
      </c>
      <c r="H21" s="159">
        <f>E21*AOIPTStudCntMDSC.ASC.SIDSC</f>
        <v>0</v>
      </c>
      <c r="I21"/>
      <c r="J21"/>
    </row>
    <row r="22" spans="1:10">
      <c r="A22" s="173" t="s">
        <v>346</v>
      </c>
      <c r="B22" s="159">
        <f>NonAOIStudCntMDSSI</f>
        <v>0</v>
      </c>
      <c r="C22" s="159">
        <f>AOIFTStudCntMDSSI</f>
        <v>0</v>
      </c>
      <c r="D22" s="159">
        <f>AOIPTStudCntMDSSI</f>
        <v>0</v>
      </c>
      <c r="E22" s="159">
        <v>7.9470000000000001</v>
      </c>
      <c r="F22" s="159">
        <f>E22*NonAOIStudCntMDSSI</f>
        <v>0</v>
      </c>
      <c r="G22" s="159">
        <f>E22*AOIFTStudCntMDSSI</f>
        <v>0</v>
      </c>
      <c r="H22" s="159">
        <f>E22*AOIPTStudCntMDSSI</f>
        <v>0</v>
      </c>
      <c r="I22"/>
      <c r="J22"/>
    </row>
    <row r="23" spans="1:10">
      <c r="A23" s="173" t="s">
        <v>347</v>
      </c>
      <c r="B23" s="159">
        <f>NonAOIStudCntOIR</f>
        <v>0</v>
      </c>
      <c r="C23" s="159">
        <f>AOIFTStudCntOIR</f>
        <v>0</v>
      </c>
      <c r="D23" s="159">
        <f>AOIPTStudCntOIR</f>
        <v>0</v>
      </c>
      <c r="E23" s="159">
        <v>3.1579999999999999</v>
      </c>
      <c r="F23" s="159">
        <f>E23*NonAOIStudCntOIR</f>
        <v>0</v>
      </c>
      <c r="G23" s="159">
        <f>E23*AOIFTStudCntOIR</f>
        <v>0</v>
      </c>
      <c r="H23" s="159">
        <f>E23*AOIPTStudCntOIR</f>
        <v>0</v>
      </c>
      <c r="I23"/>
      <c r="J23"/>
    </row>
    <row r="24" spans="1:10">
      <c r="A24" s="173" t="s">
        <v>348</v>
      </c>
      <c r="B24" s="159">
        <f>NonAOIStudCntOISC</f>
        <v>0</v>
      </c>
      <c r="C24" s="159">
        <f>AOIFTStudCntOISC</f>
        <v>0</v>
      </c>
      <c r="D24" s="159">
        <f>AOIPTStudCntOISC</f>
        <v>0</v>
      </c>
      <c r="E24" s="159">
        <v>6.7729999999999997</v>
      </c>
      <c r="F24" s="159">
        <f>E24*NonAOIStudCntOISC</f>
        <v>0</v>
      </c>
      <c r="G24" s="159">
        <f>E24*AOIFTStudCntOISC</f>
        <v>0</v>
      </c>
      <c r="H24" s="159">
        <f>E24*AOIPTStudCntOISC</f>
        <v>0</v>
      </c>
      <c r="I24"/>
      <c r="J24"/>
    </row>
    <row r="25" spans="1:10">
      <c r="A25" s="173" t="s">
        <v>349</v>
      </c>
      <c r="B25" s="159">
        <f>NonAOIStudCntP.SD</f>
        <v>0</v>
      </c>
      <c r="C25" s="159">
        <f>AOIFTStudCntP.SD</f>
        <v>0</v>
      </c>
      <c r="D25" s="159">
        <f>AOIPTStudCntP.SD</f>
        <v>0</v>
      </c>
      <c r="E25" s="159">
        <v>3.5950000000000002</v>
      </c>
      <c r="F25" s="159">
        <f>E25*NonAOIStudCntP.SD</f>
        <v>0</v>
      </c>
      <c r="G25" s="159">
        <f>E25*AOIFTStudCntP.SD</f>
        <v>0</v>
      </c>
      <c r="H25" s="159">
        <f>E25*AOIPTStudCntP.SD</f>
        <v>0</v>
      </c>
      <c r="I25"/>
      <c r="J25"/>
    </row>
    <row r="26" spans="1:10">
      <c r="A26" s="173" t="s">
        <v>350</v>
      </c>
      <c r="B26" s="159">
        <f>NonAOIStudCntDD.ED.MIID.SLD.SLI.OHI</f>
        <v>131</v>
      </c>
      <c r="C26" s="159">
        <f>AOIFTStudCntDD.ED.MIID.SLD.SLI.OHI</f>
        <v>0</v>
      </c>
      <c r="D26" s="159">
        <f>AOIPTStudCntDD.ED.MIID.SLD.SLI.OHI</f>
        <v>0</v>
      </c>
      <c r="E26" s="159">
        <v>0.29199999999999998</v>
      </c>
      <c r="F26" s="159">
        <f>E26*NonAOIStudCntDD.ED.MIID.SLD.SLI.OHI</f>
        <v>38.252000000000002</v>
      </c>
      <c r="G26" s="159">
        <f>E26*AOIFTStudCntDD.ED.MIID.SLD.SLI.OHI</f>
        <v>0</v>
      </c>
      <c r="H26" s="159">
        <f>E26*AOIPTStudCntDD.ED.MIID.SLD.SLI.OHI</f>
        <v>0</v>
      </c>
      <c r="I26"/>
      <c r="J26"/>
    </row>
    <row r="27" spans="1:10">
      <c r="A27" s="173" t="s">
        <v>351</v>
      </c>
      <c r="B27" s="159">
        <f>NonAOIStudCntEDP</f>
        <v>0</v>
      </c>
      <c r="C27" s="159">
        <f>AOIFTStudCntEDP</f>
        <v>0</v>
      </c>
      <c r="D27" s="159">
        <f>AOIPTStudCntEDP</f>
        <v>0</v>
      </c>
      <c r="E27" s="159">
        <v>4.8220000000000001</v>
      </c>
      <c r="F27" s="159">
        <f>E27*NonAOIStudCntEDP</f>
        <v>0</v>
      </c>
      <c r="G27" s="159">
        <f>E27*AOIFTStudCntEDP</f>
        <v>0</v>
      </c>
      <c r="H27" s="159">
        <f>E27*AOIPTStudCntEDP</f>
        <v>0</v>
      </c>
      <c r="I27"/>
      <c r="J27"/>
    </row>
    <row r="28" spans="1:10">
      <c r="A28" s="173" t="s">
        <v>352</v>
      </c>
      <c r="B28" s="159">
        <f>NonAOIStudCntMOID</f>
        <v>0</v>
      </c>
      <c r="C28" s="159">
        <f>AOIFTStudCntMOID</f>
        <v>0</v>
      </c>
      <c r="D28" s="159">
        <f>AOIPTStudCntMOID</f>
        <v>0</v>
      </c>
      <c r="E28" s="159">
        <v>4.4210000000000003</v>
      </c>
      <c r="F28" s="159">
        <f>E28*NonAOIStudCntMOID</f>
        <v>0</v>
      </c>
      <c r="G28" s="159">
        <f>E28*AOIFTStudCntMOID</f>
        <v>0</v>
      </c>
      <c r="H28" s="159">
        <f>E28*AOIPTStudCntMOID</f>
        <v>0</v>
      </c>
      <c r="I28"/>
      <c r="J28"/>
    </row>
    <row r="29" spans="1:10">
      <c r="A29" s="173" t="s">
        <v>353</v>
      </c>
      <c r="B29" s="159">
        <f>NonAOIStudCntVI</f>
        <v>0</v>
      </c>
      <c r="C29" s="159">
        <f>AOIFTStudCntVI</f>
        <v>0</v>
      </c>
      <c r="D29" s="159">
        <f>AOIPTStudCntVI</f>
        <v>0</v>
      </c>
      <c r="E29" s="159">
        <v>4.806</v>
      </c>
      <c r="F29" s="159">
        <f>E29*NonAOIStudCntVI</f>
        <v>0</v>
      </c>
      <c r="G29" s="159">
        <f>E29*AOIFTStudCntVI</f>
        <v>0</v>
      </c>
      <c r="H29" s="159">
        <f>E29*AOIPTStudCntVI</f>
        <v>0</v>
      </c>
      <c r="I29"/>
      <c r="J29"/>
    </row>
    <row r="30" spans="1:10">
      <c r="A30" s="124" t="s">
        <v>355</v>
      </c>
      <c r="B30" s="159">
        <f>NonAOIStudCntFRPL</f>
        <v>1675</v>
      </c>
      <c r="C30" s="159">
        <f>AOIFTStudCntFRPL</f>
        <v>0</v>
      </c>
      <c r="D30" s="159">
        <f>AOIPTStudCntFRPL</f>
        <v>0</v>
      </c>
      <c r="E30" s="386">
        <v>2.1999999999999999E-2</v>
      </c>
      <c r="F30" s="159">
        <f>E30*NonAOIStudCntFRPL</f>
        <v>36.85</v>
      </c>
      <c r="G30" s="159">
        <f>E30*AOIFTStudCntFRPL</f>
        <v>0</v>
      </c>
      <c r="H30" s="159">
        <f>E30*AOIPTStudCntFRPL</f>
        <v>0</v>
      </c>
      <c r="I30"/>
      <c r="J30"/>
    </row>
    <row r="31" spans="1:10">
      <c r="A31" s="173" t="s">
        <v>354</v>
      </c>
      <c r="B31" s="159">
        <f>NonAOIStudCntG</f>
        <v>9</v>
      </c>
      <c r="C31" s="159">
        <f>AOIFTStudCntG</f>
        <v>0</v>
      </c>
      <c r="D31" s="159">
        <f>AOIPTStudCntG</f>
        <v>0</v>
      </c>
      <c r="E31" s="159">
        <v>7.0000000000000001E-3</v>
      </c>
      <c r="F31" s="159">
        <f>E31*NonAOIStudCntG</f>
        <v>6.3E-2</v>
      </c>
      <c r="G31" s="159">
        <f>E31*AOIFTStudCntG</f>
        <v>0</v>
      </c>
      <c r="H31" s="159">
        <f>E31*AOIPTStudCntG</f>
        <v>0</v>
      </c>
      <c r="I31"/>
      <c r="J31"/>
    </row>
    <row r="32" spans="1:10">
      <c r="A32" s="174" t="s">
        <v>356</v>
      </c>
      <c r="B32" s="175">
        <f>SUM(B16:B31)</f>
        <v>3584</v>
      </c>
      <c r="C32" s="162">
        <f>SUM(C16:C31)</f>
        <v>0</v>
      </c>
      <c r="D32" s="162">
        <f>SUM(D16:D31)</f>
        <v>0</v>
      </c>
      <c r="E32" s="162"/>
      <c r="F32" s="162"/>
      <c r="G32" s="162"/>
      <c r="H32" s="162"/>
      <c r="I32"/>
      <c r="J32"/>
    </row>
    <row r="33" spans="1:10">
      <c r="A33" s="176" t="s">
        <v>357</v>
      </c>
      <c r="B33" s="175"/>
      <c r="C33" s="162"/>
      <c r="D33" s="162">
        <f>SUM(B32:D32)</f>
        <v>3584</v>
      </c>
      <c r="E33" s="162"/>
      <c r="F33" s="162"/>
      <c r="G33" s="162"/>
      <c r="H33" s="162"/>
      <c r="I33"/>
      <c r="J33"/>
    </row>
    <row r="34" spans="1:10" ht="12.75" customHeight="1">
      <c r="A34" s="176" t="s">
        <v>358</v>
      </c>
      <c r="B34" s="175"/>
      <c r="C34" s="162"/>
      <c r="D34" s="162"/>
      <c r="E34" s="162"/>
      <c r="F34" s="162">
        <f>((B16*E16)+(B17*E17)+(B18*E18)+(B19*E19)+(B20*E20)+(B21*E21)+(B22*E22)+(B23*E23)+(B24*E24)+(B25*E25)+(B26*E26)+(B27*E27)+(B28*E28)+(B29*E29)+(B30*E30)+(B31*E31))</f>
        <v>312.11399999999998</v>
      </c>
      <c r="G34" s="162">
        <f>((C16*E16)+(C17*E17)+(C18*E18)+(C19*E19)+(C20*E20)+(C21*E21)+(C22*E22)+(C23*E23)+(C24*E24)+(C25*E25)+(C26*E26)+(C27*E27)+(C28*E28)+(C29*E29)+(C30*E30)+(C31*E31))</f>
        <v>0</v>
      </c>
      <c r="H34" s="162">
        <f>((D16*E16)+(D17*E17)+(D18*E18)+(D19*E19)+(D20*E20)+(D21*E21)+(D22*E22)+(D23*E23)+(D24*E24)+(D25*E25)+(D26*E26)+(D27*E27)+(D28*E28)+(D29*E29)+(D30*E30)+(D31*E31))</f>
        <v>0</v>
      </c>
      <c r="I34" s="122"/>
      <c r="J34" s="122"/>
    </row>
    <row r="35" spans="1:10" s="122" customFormat="1">
      <c r="A35" s="176" t="s">
        <v>359</v>
      </c>
      <c r="B35" s="175"/>
      <c r="C35" s="177"/>
      <c r="D35" s="177"/>
      <c r="E35" s="177"/>
      <c r="F35" s="177"/>
      <c r="G35" s="177"/>
      <c r="H35" s="177">
        <f>((B16*E16)+(B17*E17)+(B18*E18)+(B19*E19)+(B20*E20)+(B21*E21)+(B22*E22)+(B23*E23)+(B24*E24)+(B25*E25)+(B26*E26)+(B27*E27)+(B28*E28)+(B29*E29)+(B31*E31))+((C16*E16)+(C17*E17)+(C18*E18)+(C19*E19)+(C20*E20)+(C21*E21)+(C22*E22)+(C23*E23)+(C24*E24)+(C25*E25)+(C26*E26)+(C27*E27)+(C28*E28)+(C29*E29)+(C31*E31))+((D16*E16)+(D17*E17)+(D18*E18)+(D19*E19)+(D20*E20)+(D21*E21)+(D22*E22)+(D23*E23)+(D24*E24)+(D25*E25)+(D26*E26)+(D27*E27)+(D28*E28)+(D29*E29)+(B30*E30)+(C30*E30)+(D30*E30)+(D31*E31))</f>
        <v>312.11399999999998</v>
      </c>
      <c r="I35" s="178"/>
    </row>
    <row r="36" spans="1:10">
      <c r="A36" s="484" t="str">
        <f>A3</f>
        <v>Harvest Power Community Development Group</v>
      </c>
      <c r="B36" s="484"/>
      <c r="C36" s="484"/>
      <c r="D36" s="484"/>
      <c r="E36" s="484"/>
      <c r="F36" s="484"/>
      <c r="G36" s="484"/>
      <c r="H36" s="484"/>
      <c r="I36" s="484"/>
      <c r="J36" s="484"/>
    </row>
    <row r="37" spans="1:10">
      <c r="A37" s="484" t="s">
        <v>325</v>
      </c>
      <c r="B37" s="484"/>
      <c r="C37" s="484"/>
      <c r="D37" s="484"/>
      <c r="E37" s="484"/>
      <c r="F37" s="484"/>
      <c r="G37" s="484"/>
      <c r="H37" s="484"/>
      <c r="I37" s="484"/>
      <c r="J37" s="484"/>
    </row>
    <row r="38" spans="1:10">
      <c r="A38" s="484" t="s">
        <v>462</v>
      </c>
      <c r="B38" s="484"/>
      <c r="C38" s="484"/>
      <c r="D38" s="484"/>
      <c r="E38" s="484"/>
      <c r="F38" s="484"/>
      <c r="G38" s="484"/>
      <c r="H38" s="484"/>
      <c r="I38" s="484"/>
      <c r="J38" s="484"/>
    </row>
    <row r="39" spans="1:10" s="122" customFormat="1" ht="13.5" thickBot="1">
      <c r="A39" s="156"/>
      <c r="B39" s="156"/>
      <c r="C39" s="156"/>
      <c r="D39" s="156"/>
      <c r="E39" s="156"/>
      <c r="F39" s="156"/>
      <c r="G39" s="156"/>
      <c r="H39" s="156"/>
      <c r="I39" s="156"/>
      <c r="J39" s="157" t="s">
        <v>360</v>
      </c>
    </row>
    <row r="40" spans="1:10">
      <c r="A40"/>
      <c r="B40"/>
      <c r="C40"/>
      <c r="D40"/>
      <c r="E40"/>
      <c r="F40"/>
      <c r="G40"/>
      <c r="H40"/>
      <c r="I40"/>
      <c r="J40"/>
    </row>
    <row r="41" spans="1:10">
      <c r="A41" s="176" t="s">
        <v>361</v>
      </c>
      <c r="B41"/>
      <c r="C41"/>
      <c r="D41"/>
      <c r="E41"/>
      <c r="F41"/>
      <c r="G41"/>
      <c r="H41"/>
      <c r="I41"/>
      <c r="J41"/>
    </row>
    <row r="42" spans="1:10" ht="38.25">
      <c r="A42" s="179"/>
      <c r="B42"/>
      <c r="C42" s="158" t="s">
        <v>362</v>
      </c>
      <c r="D42"/>
      <c r="E42" s="158" t="s">
        <v>363</v>
      </c>
      <c r="F42"/>
      <c r="G42" s="158" t="s">
        <v>364</v>
      </c>
      <c r="H42"/>
      <c r="I42"/>
      <c r="J42"/>
    </row>
    <row r="43" spans="1:10" ht="13.5" customHeight="1">
      <c r="A43" s="112" t="s">
        <v>338</v>
      </c>
      <c r="B43"/>
      <c r="C43" s="180">
        <f>((B8*E8)+(B9*E9)+(B10*E10))</f>
        <v>2035.65</v>
      </c>
      <c r="D43"/>
      <c r="E43" s="180">
        <f>((C8*E8)+(C9*E9)+(C10*E10))</f>
        <v>0</v>
      </c>
      <c r="F43" s="163"/>
      <c r="G43" s="180">
        <f>((D8*E8)+(D9*E9)+(D10*E10))</f>
        <v>0</v>
      </c>
      <c r="H43" s="163"/>
      <c r="I43"/>
      <c r="J43"/>
    </row>
    <row r="44" spans="1:10">
      <c r="A44" s="112" t="s">
        <v>358</v>
      </c>
      <c r="B44" s="405" t="s">
        <v>256</v>
      </c>
      <c r="C44" s="180">
        <f>((B16*E16)+(B17*E17)+(B18*E18)+(B19*E19)+(B20*E20)+(B21*E21)+(B22*E22)+(B23*E23)+(B24*E24)+(B25*E25)+(B26*E26)+(B27*E27)+(B28*E28)+(B29*E29)+(B30*E30)+(B31*E31))</f>
        <v>312.11399999999998</v>
      </c>
      <c r="D44" s="405" t="s">
        <v>256</v>
      </c>
      <c r="E44" s="180">
        <f>((C16*E16)+(C17*E17)+(C18*E18)+(C19*E19)+(C20*E20)+(C21*E21)+(C22*E22)+(C23*E23)+(C24*E24)+(C25*E25)+(C26*E26)+(C27*E27)+(C28*E28)+(C29*E29)+(C30*E30)+(C31*E31))</f>
        <v>0</v>
      </c>
      <c r="F44" s="181" t="s">
        <v>256</v>
      </c>
      <c r="G44" s="180">
        <f>((D16*E16)+(D17*E17)+(D18*E18)+(D19*E19)+(D20*E20)+(D21*E21)+(D22*E22)+(D23*E23)+(D24*E24)+(D25*E25)+(D26*E26)+(D27*E27)+(D28*E28)+(D29*E29)+(D30*E30)+(D31*E31))</f>
        <v>0</v>
      </c>
      <c r="H44" s="163"/>
      <c r="I44"/>
      <c r="J44"/>
    </row>
    <row r="45" spans="1:10">
      <c r="A45" s="112" t="s">
        <v>365</v>
      </c>
      <c r="B45" s="405" t="s">
        <v>259</v>
      </c>
      <c r="C45" s="180">
        <f>((B8*E8)+(B9*E9)+(B10*E10))+((B16*E16)+(B17*E17)+(B18*E18)+(B19*E19)+(B20*E20)+(B21*E21)+(B22*E22)+(B23*E23)+(B24*E24)+(B25*E25)+(B26*E26)+(B27*E27)+(B28*E28)+(B29*E29)+(B30*E30)+(B31*E31))</f>
        <v>2347.7640000000001</v>
      </c>
      <c r="D45" s="405" t="s">
        <v>259</v>
      </c>
      <c r="E45" s="180">
        <f>((C8*E8)+(C9*E9)+(C10*E10))+((C16*E16)+(C17*E17)+(C18*E18)+(C19*E19)+(C20*E20)+(C21*E21)+(C22*E22)+(C23*E23)+(C24*E24)+(C25*E25)+(C26*E26)+(C27*E27)+(C28*E28)+(C29*E29)+(C30*E30)+(C31*E31))</f>
        <v>0</v>
      </c>
      <c r="F45" s="181" t="s">
        <v>259</v>
      </c>
      <c r="G45" s="180">
        <f>((D8*E8)+(D9*E9)+(D10*E10))+((D16*E16)+(D17*E17)+(D18*E18)+(D19*E19)+(D20*E20)+(D21*E21)+(D22*E22)+(D23*E23)+(D24*E24)+(D25*E25)+(D26*E26)+(D27*E27)+(D28*E28)+(D29*E29)+(D30*E30)+(D31*E31))</f>
        <v>0</v>
      </c>
      <c r="H45" s="163"/>
      <c r="I45"/>
      <c r="J45"/>
    </row>
    <row r="46" spans="1:10">
      <c r="A46" s="112" t="s">
        <v>366</v>
      </c>
      <c r="B46" s="405" t="s">
        <v>239</v>
      </c>
      <c r="C46" s="180">
        <v>1</v>
      </c>
      <c r="D46" s="405" t="s">
        <v>239</v>
      </c>
      <c r="E46" s="180">
        <v>0.95</v>
      </c>
      <c r="F46" s="181" t="s">
        <v>239</v>
      </c>
      <c r="G46" s="180">
        <v>0.85</v>
      </c>
      <c r="H46" s="163"/>
      <c r="I46"/>
      <c r="J46"/>
    </row>
    <row r="47" spans="1:10">
      <c r="A47" s="112" t="s">
        <v>367</v>
      </c>
      <c r="B47" s="405" t="s">
        <v>259</v>
      </c>
      <c r="C47" s="180">
        <f>(((B8*E8)+(B9*E9)+(B10*E10))+((B16*E16)+(B17*E17)+(B18*E18)+(B19*E19)+(B20*E20)+(B21*E21)+(B22*E22)+(B23*E23)+(B24*E24)+(B25*E25)+(B26*E26)+(B27*E27)+(B28*E28)+(B29*E29)+(B30*E30)+(B31*E31))*C46)</f>
        <v>2347.7640000000001</v>
      </c>
      <c r="D47" s="405" t="s">
        <v>259</v>
      </c>
      <c r="E47" s="180">
        <f>(((C8*E8)+(C9*E9)+(C10*E10))+((C16*E16)+(C17*E17)+(C18*E18)+(C19*E19)+(C20*E20)+(C21*E21)+(C22*E22)+(C23*E23)+(C24*E24)+(C25*E25)+(C26*E26)+(C27*E27)+(C28*E28)+(C29*E29)+(C30*E30)+(C31*E31)))*E46</f>
        <v>0</v>
      </c>
      <c r="F47" s="181" t="s">
        <v>259</v>
      </c>
      <c r="G47" s="180">
        <f>((((D8*E8)+(D9*E9)+(D10*E10))+((D16*E16)+(D17*E17)+(D18*E18)+(D19*E19)+(D20*E20)+(D21*E21)+(D22*E22)+(D23*E23)+(D24*E24)+(D25*E25)+(D26*E26)+(D27*E27)+(D28*E28)+(D29*E29)+(D30*E30)+(D31*E31)))*G46)</f>
        <v>0</v>
      </c>
      <c r="H47" s="163"/>
      <c r="I47"/>
      <c r="J47"/>
    </row>
    <row r="48" spans="1:10">
      <c r="A48"/>
      <c r="B48"/>
      <c r="C48" s="163"/>
      <c r="D48"/>
      <c r="E48" s="163"/>
      <c r="F48" s="163"/>
      <c r="G48" s="163"/>
      <c r="H48" s="163"/>
      <c r="I48"/>
      <c r="J48"/>
    </row>
    <row r="49" spans="1:10">
      <c r="A49" s="182" t="s">
        <v>368</v>
      </c>
      <c r="B49"/>
      <c r="C49" s="163"/>
      <c r="D49" s="183"/>
      <c r="E49" s="163"/>
      <c r="F49" s="163"/>
      <c r="G49" s="163"/>
      <c r="H49" s="184">
        <f>((((D8*E8)+(D9*E9)+(D10*E10))+((D16*E16)+(D17*E17)+(D18*E18)+(D19*E19)+(D20*E20)+(D21*E21)+(D22*E22)+(D23*E23)+(D24*E24)+(D25*E25)+(D26*E26)+(D27*E27)+(D28*E28)+(D29*E29)+(D30*E30)+(D31*E31))*G46)+((((C8*E8)+(C9*E9)+(C10*E10))+((C16*E16)+(C17*E17)+(C18*E18)+(C19*E19)+(C20*E20)+(C21*E21)+(C22*E22)+(C23*E23)+(C24*E24)+(C25*E25)+(C26*E26)+(C27*E27)+(C28*E28)+(C29*E29)+(C30*E30)+(C31*E31)))*E46)+((((B8*E8)+(B9*E9)+(B10*E10))+((B16*E16)+(B17*E17)+(B18*E18)+(B19*E19)+(B20*E20)+(B21*E21)+(B22*E22)+(B23*E23)+(B24*E24)+(B25*E25)+(B26*E26)+(B27*E27)+(B28*E28)+(B29*E29)+(B30*E30)+(B31*E31))*C46)))</f>
        <v>2347.7640000000001</v>
      </c>
      <c r="I49"/>
      <c r="J49"/>
    </row>
    <row r="50" spans="1:10">
      <c r="A50" s="441" t="s">
        <v>459</v>
      </c>
      <c r="B50" s="442"/>
      <c r="C50" s="443"/>
      <c r="D50" s="442"/>
      <c r="E50" s="442"/>
      <c r="F50" s="442"/>
      <c r="G50" s="442"/>
      <c r="H50" s="453">
        <f>IF('Data Entry'!C85="X",5215.53*1.05,5215.53)</f>
        <v>5215.53</v>
      </c>
      <c r="I50"/>
      <c r="J50"/>
    </row>
    <row r="51" spans="1:10">
      <c r="A51" s="176" t="s">
        <v>369</v>
      </c>
      <c r="B51"/>
      <c r="C51" s="180">
        <f>H49</f>
        <v>2347.7640000000001</v>
      </c>
      <c r="D51" s="405" t="s">
        <v>239</v>
      </c>
      <c r="E51" s="185">
        <f>H50</f>
        <v>5215.53</v>
      </c>
      <c r="F51"/>
      <c r="G51"/>
      <c r="H51" s="186">
        <f>((((D8*E8)+(D9*E9)+(D10*E10))+((D16*E16)+(D17*E17)+(D18*E18)+(D19*E19)+(D20*E20)+(D21*E21)+(D22*E22)+(D23*E23)+(D24*E24)+(D25*E25)+(D26*E26)+(D27*E27)+(D28*E28)+(D29*E29)+(D30*E30)+(D31*E31))*G46)+((((C8*E8)+(C9*E9)+(C10*E10))+((C16*E16)+(C17*E17)+(C18*E18)+(C19*E19)+(C20*E20)+(C21*E21)+(C22*E22)+(C23*E23)+(C24*E24)+(C25*E25)+(C26*E26)+(C27*E27)+(C28*E28)+(C29*E29)+(C30*E30)+(C31*E31)))*E46)+((((B8*E8)+(B9*E9)+(B10*E10))+((B16*E16)+(B17*E17)+(B18*E18)+(B19*E19)+(B20*E20)+(B21*E21)+(B22*E22)+(B23*E23)+(B24*E24)+(B25*E25)+(B26*E26)+(B27*E27)+(B28*E28)+(B29*E29)+(B30*E30)+(B31*E31))*C46)))*E51</f>
        <v>12244833.57</v>
      </c>
      <c r="I51"/>
      <c r="J51"/>
    </row>
    <row r="52" spans="1:10">
      <c r="A52" s="176"/>
      <c r="B52"/>
      <c r="C52" s="80"/>
      <c r="D52" s="405"/>
      <c r="E52" s="104"/>
      <c r="F52"/>
      <c r="G52"/>
      <c r="H52" s="187"/>
      <c r="I52"/>
      <c r="J52"/>
    </row>
    <row r="53" spans="1:10">
      <c r="A53" s="145" t="s">
        <v>370</v>
      </c>
      <c r="B53"/>
      <c r="C53"/>
      <c r="D53"/>
      <c r="E53"/>
      <c r="F53"/>
      <c r="G53"/>
      <c r="H53" s="94"/>
      <c r="I53"/>
      <c r="J53"/>
    </row>
    <row r="54" spans="1:10">
      <c r="A54" s="145" t="s">
        <v>371</v>
      </c>
      <c r="B54"/>
      <c r="C54"/>
      <c r="D54"/>
      <c r="E54"/>
      <c r="F54"/>
      <c r="G54"/>
      <c r="H54" s="186">
        <f>ROUND(NonFedAuditExp,0)</f>
        <v>37639</v>
      </c>
      <c r="I54"/>
      <c r="J54"/>
    </row>
    <row r="55" spans="1:10">
      <c r="A55" s="145" t="s">
        <v>372</v>
      </c>
      <c r="B55"/>
      <c r="C55"/>
      <c r="D55"/>
      <c r="E55"/>
      <c r="F55"/>
      <c r="G55"/>
      <c r="H55" s="186">
        <f>ROUND(RemoteTimeAdjustment,0)</f>
        <v>0</v>
      </c>
      <c r="I55"/>
      <c r="J55"/>
    </row>
    <row r="56" spans="1:10">
      <c r="A56" s="145"/>
      <c r="B56"/>
      <c r="C56"/>
      <c r="D56"/>
      <c r="E56"/>
      <c r="F56"/>
      <c r="G56"/>
      <c r="H56" s="186"/>
      <c r="I56"/>
      <c r="J56"/>
    </row>
    <row r="57" spans="1:10" hidden="1">
      <c r="A57" s="145"/>
      <c r="B57"/>
      <c r="C57"/>
      <c r="D57"/>
      <c r="E57"/>
      <c r="F57"/>
      <c r="G57"/>
      <c r="H57" s="186"/>
      <c r="I57"/>
      <c r="J57"/>
    </row>
    <row r="58" spans="1:10" hidden="1">
      <c r="A58" s="145"/>
      <c r="B58"/>
      <c r="C58"/>
      <c r="D58"/>
      <c r="E58"/>
      <c r="F58"/>
      <c r="G58"/>
      <c r="H58" s="186"/>
    </row>
    <row r="59" spans="1:10">
      <c r="A59" s="146" t="s">
        <v>373</v>
      </c>
      <c r="B59"/>
      <c r="C59" s="185">
        <f>H51</f>
        <v>12244833.57</v>
      </c>
      <c r="D59" s="405" t="s">
        <v>256</v>
      </c>
      <c r="E59" s="185">
        <f>SUM(H54:H55)</f>
        <v>37639</v>
      </c>
      <c r="F59"/>
      <c r="G59"/>
      <c r="H59" s="186">
        <f>C59+E59</f>
        <v>12282472.57</v>
      </c>
      <c r="I59"/>
      <c r="J59"/>
    </row>
    <row r="60" spans="1:10">
      <c r="A60"/>
      <c r="B60"/>
      <c r="C60"/>
      <c r="D60"/>
      <c r="E60"/>
      <c r="F60"/>
      <c r="G60"/>
      <c r="H60"/>
      <c r="I60"/>
      <c r="J60"/>
    </row>
    <row r="61" spans="1:10" ht="11.25" customHeight="1">
      <c r="A61" s="484" t="str">
        <f>A3</f>
        <v>Harvest Power Community Development Group</v>
      </c>
      <c r="B61" s="484"/>
      <c r="C61" s="484"/>
      <c r="D61" s="484"/>
      <c r="E61" s="484"/>
      <c r="F61" s="484"/>
      <c r="G61" s="484"/>
      <c r="H61" s="484"/>
      <c r="I61" s="484"/>
      <c r="J61" s="484"/>
    </row>
    <row r="62" spans="1:10" ht="12" customHeight="1">
      <c r="A62" s="484" t="s">
        <v>325</v>
      </c>
      <c r="B62" s="484"/>
      <c r="C62" s="484"/>
      <c r="D62" s="484"/>
      <c r="E62" s="484"/>
      <c r="F62" s="484"/>
      <c r="G62" s="484"/>
      <c r="H62" s="484"/>
      <c r="I62" s="484"/>
      <c r="J62" s="484"/>
    </row>
    <row r="63" spans="1:10">
      <c r="A63" s="484" t="s">
        <v>462</v>
      </c>
      <c r="B63" s="484"/>
      <c r="C63" s="484"/>
      <c r="D63" s="484"/>
      <c r="E63" s="484"/>
      <c r="F63" s="484"/>
      <c r="G63" s="484"/>
      <c r="H63" s="484"/>
      <c r="I63" s="484"/>
      <c r="J63" s="484"/>
    </row>
    <row r="64" spans="1:10" s="122" customFormat="1" ht="13.5" thickBot="1">
      <c r="A64" s="156"/>
      <c r="B64" s="156"/>
      <c r="C64" s="156"/>
      <c r="D64" s="156"/>
      <c r="E64" s="156"/>
      <c r="F64" s="156"/>
      <c r="G64" s="156"/>
      <c r="H64" s="156"/>
      <c r="I64" s="156"/>
      <c r="J64" s="157" t="s">
        <v>374</v>
      </c>
    </row>
    <row r="65" spans="1:10">
      <c r="A65"/>
      <c r="B65"/>
      <c r="C65"/>
      <c r="D65"/>
      <c r="E65"/>
      <c r="F65"/>
      <c r="G65"/>
      <c r="H65"/>
      <c r="I65"/>
      <c r="J65"/>
    </row>
    <row r="66" spans="1:10" ht="13.5" thickBot="1">
      <c r="A66" s="157" t="s">
        <v>375</v>
      </c>
      <c r="B66"/>
      <c r="C66" s="188" t="s">
        <v>251</v>
      </c>
      <c r="D66" s="156"/>
      <c r="E66" s="188" t="s">
        <v>252</v>
      </c>
      <c r="F66" s="156"/>
      <c r="G66" s="188" t="s">
        <v>253</v>
      </c>
      <c r="H66"/>
      <c r="I66"/>
      <c r="J66"/>
    </row>
    <row r="67" spans="1:10">
      <c r="A67" s="138" t="s">
        <v>376</v>
      </c>
      <c r="B67"/>
      <c r="C67" s="189">
        <f>SUM(B8:D8)</f>
        <v>0</v>
      </c>
      <c r="D67" s="163"/>
      <c r="E67" s="189">
        <f>SUM(B9:D9)</f>
        <v>1375</v>
      </c>
      <c r="F67" s="163"/>
      <c r="G67" s="189">
        <f>SUM(B10:D10)</f>
        <v>300</v>
      </c>
      <c r="H67"/>
      <c r="I67"/>
      <c r="J67"/>
    </row>
    <row r="68" spans="1:10" ht="13.5" thickBot="1">
      <c r="A68" s="441" t="s">
        <v>377</v>
      </c>
      <c r="B68" s="456" t="s">
        <v>239</v>
      </c>
      <c r="C68" s="457">
        <v>2174.54</v>
      </c>
      <c r="D68" s="458" t="s">
        <v>239</v>
      </c>
      <c r="E68" s="457">
        <v>2174.54</v>
      </c>
      <c r="F68" s="458" t="s">
        <v>239</v>
      </c>
      <c r="G68" s="457">
        <v>2534.38</v>
      </c>
      <c r="H68"/>
      <c r="I68"/>
      <c r="J68"/>
    </row>
    <row r="69" spans="1:10" ht="12" customHeight="1">
      <c r="A69" s="112" t="s">
        <v>378</v>
      </c>
      <c r="B69" s="405" t="s">
        <v>259</v>
      </c>
      <c r="C69" s="185">
        <f>C67*C68</f>
        <v>0</v>
      </c>
      <c r="D69" s="405" t="s">
        <v>259</v>
      </c>
      <c r="E69" s="185">
        <f>E67*E68</f>
        <v>2989992.5</v>
      </c>
      <c r="F69" s="405" t="s">
        <v>259</v>
      </c>
      <c r="G69" s="185">
        <f>G67*G68</f>
        <v>760314</v>
      </c>
      <c r="H69"/>
      <c r="I69"/>
      <c r="J69"/>
    </row>
    <row r="70" spans="1:10">
      <c r="A70" s="112" t="s">
        <v>379</v>
      </c>
      <c r="B70"/>
      <c r="C70"/>
      <c r="D70"/>
      <c r="E70"/>
      <c r="F70"/>
      <c r="G70"/>
      <c r="H70" s="186">
        <f>(C67*C68)+(E67*E68)+(G67*G68)</f>
        <v>3750306.5</v>
      </c>
      <c r="I70"/>
      <c r="J70"/>
    </row>
    <row r="71" spans="1:10">
      <c r="A71"/>
      <c r="B71"/>
      <c r="C71"/>
      <c r="D71"/>
      <c r="E71"/>
      <c r="F71"/>
      <c r="G71"/>
      <c r="H71" s="183"/>
      <c r="I71"/>
      <c r="J71"/>
    </row>
    <row r="72" spans="1:10">
      <c r="A72" s="176" t="s">
        <v>380</v>
      </c>
      <c r="B72"/>
      <c r="C72"/>
      <c r="D72"/>
      <c r="E72"/>
      <c r="F72"/>
      <c r="G72"/>
      <c r="H72" s="183"/>
      <c r="I72"/>
      <c r="J72"/>
    </row>
    <row r="73" spans="1:10">
      <c r="A73"/>
      <c r="B73"/>
      <c r="C73"/>
      <c r="D73"/>
      <c r="E73"/>
      <c r="F73"/>
      <c r="G73"/>
      <c r="H73" s="183"/>
      <c r="I73"/>
      <c r="J73"/>
    </row>
    <row r="74" spans="1:10">
      <c r="A74" s="94" t="s">
        <v>381</v>
      </c>
      <c r="B74"/>
      <c r="C74"/>
      <c r="D74"/>
      <c r="E74"/>
      <c r="F74"/>
      <c r="G74"/>
      <c r="H74" s="186">
        <f>C69+E69+G69</f>
        <v>3750306.5</v>
      </c>
      <c r="I74"/>
      <c r="J74"/>
    </row>
    <row r="75" spans="1:10">
      <c r="A75"/>
      <c r="B75"/>
      <c r="C75"/>
      <c r="D75"/>
      <c r="E75"/>
      <c r="F75"/>
      <c r="G75"/>
      <c r="H75" s="183"/>
      <c r="I75"/>
      <c r="J75"/>
    </row>
    <row r="76" spans="1:10">
      <c r="A76" s="94" t="s">
        <v>382</v>
      </c>
      <c r="B76"/>
      <c r="C76"/>
      <c r="D76"/>
      <c r="E76"/>
      <c r="F76"/>
      <c r="G76"/>
      <c r="H76" s="183"/>
      <c r="I76"/>
      <c r="J76"/>
    </row>
    <row r="77" spans="1:10">
      <c r="A77" t="s">
        <v>383</v>
      </c>
      <c r="B77"/>
      <c r="C77" s="185">
        <f>H59</f>
        <v>12282472.57</v>
      </c>
      <c r="D77"/>
      <c r="E77"/>
      <c r="F77"/>
      <c r="G77"/>
      <c r="H77" s="183"/>
      <c r="I77"/>
      <c r="J77"/>
    </row>
    <row r="78" spans="1:10">
      <c r="A78" t="s">
        <v>384</v>
      </c>
      <c r="B78" s="405" t="s">
        <v>256</v>
      </c>
      <c r="C78" s="185">
        <f>H74</f>
        <v>3750306.5</v>
      </c>
      <c r="D78"/>
      <c r="E78"/>
      <c r="F78"/>
      <c r="G78"/>
      <c r="H78" s="183"/>
      <c r="I78"/>
      <c r="J78"/>
    </row>
    <row r="79" spans="1:10">
      <c r="A79"/>
      <c r="B79" s="405" t="s">
        <v>259</v>
      </c>
      <c r="C79" s="185">
        <f>C77+C78</f>
        <v>16032779.07</v>
      </c>
      <c r="D79"/>
      <c r="E79"/>
      <c r="F79"/>
      <c r="G79"/>
      <c r="H79" s="183"/>
      <c r="I79"/>
      <c r="J79"/>
    </row>
    <row r="80" spans="1:10">
      <c r="A80" s="94" t="s">
        <v>385</v>
      </c>
      <c r="B80"/>
      <c r="C80"/>
      <c r="D80"/>
      <c r="E80"/>
      <c r="F80"/>
      <c r="G80"/>
      <c r="H80" s="186">
        <f>C79</f>
        <v>16032779.07</v>
      </c>
      <c r="I80"/>
      <c r="J80"/>
    </row>
    <row r="81" spans="1:10">
      <c r="A81"/>
      <c r="B81"/>
      <c r="C81"/>
      <c r="D81"/>
      <c r="E81"/>
      <c r="F81"/>
      <c r="G81"/>
      <c r="H81" s="183"/>
      <c r="I81"/>
      <c r="J81"/>
    </row>
    <row r="82" spans="1:10">
      <c r="A82"/>
      <c r="B82"/>
      <c r="C82"/>
      <c r="D82"/>
      <c r="E82"/>
      <c r="F82"/>
      <c r="G82"/>
      <c r="H82" s="183"/>
      <c r="I82"/>
      <c r="J82"/>
    </row>
    <row r="83" spans="1:10">
      <c r="A83"/>
      <c r="B83"/>
      <c r="C83"/>
      <c r="D83"/>
      <c r="E83"/>
      <c r="F83"/>
      <c r="G83"/>
      <c r="H83" s="186">
        <f>H80</f>
        <v>16032779.07</v>
      </c>
      <c r="I83"/>
      <c r="J83"/>
    </row>
    <row r="84" spans="1:10">
      <c r="A84"/>
      <c r="B84"/>
      <c r="C84"/>
      <c r="D84"/>
      <c r="E84"/>
      <c r="F84"/>
      <c r="G84"/>
      <c r="H84" s="3"/>
      <c r="I84"/>
      <c r="J84"/>
    </row>
    <row r="96" spans="1:10" ht="11.25" customHeight="1"/>
    <row r="97" ht="42" customHeight="1"/>
    <row r="104" ht="42" customHeight="1"/>
    <row r="126" ht="42" customHeight="1"/>
    <row r="179" ht="30.75" customHeight="1"/>
  </sheetData>
  <sheetProtection formatCells="0" formatColumns="0" formatRows="0"/>
  <mergeCells count="12">
    <mergeCell ref="B1:C1"/>
    <mergeCell ref="E1:G1"/>
    <mergeCell ref="I1:J1"/>
    <mergeCell ref="A3:J3"/>
    <mergeCell ref="A4:J4"/>
    <mergeCell ref="A5:J5"/>
    <mergeCell ref="A63:J63"/>
    <mergeCell ref="A36:J36"/>
    <mergeCell ref="A37:J37"/>
    <mergeCell ref="A38:J38"/>
    <mergeCell ref="A61:J61"/>
    <mergeCell ref="A62:J62"/>
  </mergeCells>
  <pageMargins left="0.7" right="0.7" top="0.75" bottom="0.75" header="0.3" footer="0.3"/>
  <pageSetup scale="55" orientation="landscape" r:id="rId1"/>
  <headerFooter>
    <oddFooter>&amp;L&amp;"Arial,Bold"Rev. 5/26 Arizona Department of Education and Auditor General&amp;R&amp;"Arial,Bold"BSA55</oddFooter>
  </headerFooter>
  <rowBreaks count="2" manualBreakCount="2">
    <brk id="35" max="16383" man="1"/>
    <brk id="6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F43"/>
  <sheetViews>
    <sheetView showGridLines="0" zoomScaleNormal="100" workbookViewId="0"/>
  </sheetViews>
  <sheetFormatPr defaultColWidth="9.28515625" defaultRowHeight="12.75"/>
  <cols>
    <col min="1" max="1" width="13.28515625" style="123" customWidth="1"/>
    <col min="2" max="2" width="23.28515625" style="124" customWidth="1"/>
    <col min="3" max="3" width="88.5703125" style="145" customWidth="1"/>
    <col min="4" max="4" width="34.85546875" style="138" customWidth="1"/>
  </cols>
  <sheetData>
    <row r="1" spans="1:6" ht="51.75" customHeight="1">
      <c r="A1" s="150" t="s">
        <v>386</v>
      </c>
      <c r="B1" s="150" t="s">
        <v>387</v>
      </c>
      <c r="C1" s="151" t="s">
        <v>388</v>
      </c>
      <c r="D1" s="150" t="s">
        <v>389</v>
      </c>
    </row>
    <row r="2" spans="1:6" ht="234.75" customHeight="1">
      <c r="A2" s="152" t="s">
        <v>390</v>
      </c>
      <c r="B2" s="124" t="s">
        <v>391</v>
      </c>
      <c r="C2" s="450" t="s">
        <v>496</v>
      </c>
      <c r="D2" s="112"/>
      <c r="F2" s="145"/>
    </row>
    <row r="3" spans="1:6" ht="44.25" customHeight="1">
      <c r="A3" s="152" t="s">
        <v>390</v>
      </c>
      <c r="B3" s="124" t="s">
        <v>2</v>
      </c>
      <c r="C3" s="112" t="s">
        <v>392</v>
      </c>
    </row>
    <row r="4" spans="1:6" ht="76.5" customHeight="1">
      <c r="A4" s="152" t="s">
        <v>390</v>
      </c>
      <c r="B4" s="124" t="s">
        <v>18</v>
      </c>
      <c r="C4" s="112" t="s">
        <v>393</v>
      </c>
    </row>
    <row r="5" spans="1:6" ht="102" customHeight="1">
      <c r="A5" s="408" t="s">
        <v>390</v>
      </c>
      <c r="B5" s="124" t="s">
        <v>438</v>
      </c>
      <c r="C5" s="409" t="s">
        <v>458</v>
      </c>
    </row>
    <row r="6" spans="1:6" ht="37.5" customHeight="1">
      <c r="A6" s="152" t="s">
        <v>390</v>
      </c>
      <c r="B6" s="124" t="s">
        <v>394</v>
      </c>
      <c r="C6" s="450" t="s">
        <v>471</v>
      </c>
    </row>
    <row r="7" spans="1:6" ht="112.5" customHeight="1">
      <c r="A7" s="152" t="s">
        <v>390</v>
      </c>
      <c r="B7" s="124" t="s">
        <v>234</v>
      </c>
      <c r="C7" s="112" t="s">
        <v>395</v>
      </c>
    </row>
    <row r="8" spans="1:6" ht="177" customHeight="1">
      <c r="A8" s="408">
        <v>1</v>
      </c>
      <c r="B8" s="124" t="s">
        <v>391</v>
      </c>
      <c r="C8" s="138" t="s">
        <v>497</v>
      </c>
      <c r="D8" s="437"/>
    </row>
    <row r="9" spans="1:6" ht="87.75" customHeight="1">
      <c r="A9" s="152">
        <v>1</v>
      </c>
      <c r="B9" s="124" t="s">
        <v>396</v>
      </c>
      <c r="C9" s="112" t="s">
        <v>397</v>
      </c>
    </row>
    <row r="10" spans="1:6" ht="17.25" customHeight="1">
      <c r="A10" s="152"/>
      <c r="C10" s="153" t="s">
        <v>398</v>
      </c>
    </row>
    <row r="11" spans="1:6" ht="49.5" customHeight="1">
      <c r="A11" s="408">
        <v>1</v>
      </c>
      <c r="B11" s="124" t="s">
        <v>399</v>
      </c>
      <c r="C11" s="409" t="s">
        <v>400</v>
      </c>
    </row>
    <row r="12" spans="1:6" ht="47.25" customHeight="1">
      <c r="A12" s="387">
        <v>1</v>
      </c>
      <c r="B12" s="438" t="s">
        <v>401</v>
      </c>
      <c r="C12" s="433" t="s">
        <v>498</v>
      </c>
      <c r="D12" s="433" t="s">
        <v>402</v>
      </c>
    </row>
    <row r="13" spans="1:6" ht="81.75" customHeight="1">
      <c r="A13" s="152">
        <v>2</v>
      </c>
      <c r="B13" s="124" t="s">
        <v>99</v>
      </c>
      <c r="C13" s="138" t="s">
        <v>457</v>
      </c>
      <c r="D13" s="154"/>
    </row>
    <row r="14" spans="1:6" ht="133.5" customHeight="1">
      <c r="A14" s="152">
        <v>2</v>
      </c>
      <c r="B14" s="124" t="s">
        <v>403</v>
      </c>
      <c r="C14" s="112" t="s">
        <v>404</v>
      </c>
    </row>
    <row r="15" spans="1:6" ht="127.5" customHeight="1">
      <c r="A15" s="152">
        <v>2</v>
      </c>
      <c r="B15" s="124" t="s">
        <v>405</v>
      </c>
      <c r="C15" s="138" t="s">
        <v>406</v>
      </c>
    </row>
    <row r="16" spans="1:6" ht="52.5" customHeight="1">
      <c r="A16" s="384">
        <v>2</v>
      </c>
      <c r="B16" s="385" t="s">
        <v>163</v>
      </c>
      <c r="C16" s="383" t="s">
        <v>407</v>
      </c>
      <c r="D16" s="388"/>
    </row>
    <row r="17" spans="1:4" ht="96.75" customHeight="1">
      <c r="A17" s="408">
        <v>2</v>
      </c>
      <c r="B17" s="124" t="s">
        <v>169</v>
      </c>
      <c r="C17" s="138" t="s">
        <v>499</v>
      </c>
      <c r="D17" s="437"/>
    </row>
    <row r="18" spans="1:4" ht="45.75" customHeight="1">
      <c r="A18" s="152">
        <v>2</v>
      </c>
      <c r="B18" s="124" t="s">
        <v>100</v>
      </c>
      <c r="C18" s="112" t="s">
        <v>408</v>
      </c>
    </row>
    <row r="19" spans="1:4" ht="32.25" customHeight="1">
      <c r="A19" s="152">
        <v>2</v>
      </c>
      <c r="B19" s="124" t="s">
        <v>409</v>
      </c>
      <c r="C19" s="112" t="s">
        <v>410</v>
      </c>
    </row>
    <row r="20" spans="1:4" ht="54" customHeight="1">
      <c r="A20" s="152">
        <v>2</v>
      </c>
      <c r="B20" s="124" t="s">
        <v>411</v>
      </c>
      <c r="C20" s="138" t="s">
        <v>412</v>
      </c>
      <c r="D20" s="154"/>
    </row>
    <row r="21" spans="1:4" ht="63.75" customHeight="1">
      <c r="A21" s="152">
        <v>2</v>
      </c>
      <c r="B21" s="124" t="s">
        <v>145</v>
      </c>
      <c r="C21" s="112" t="s">
        <v>413</v>
      </c>
    </row>
    <row r="22" spans="1:4" ht="116.25" customHeight="1">
      <c r="A22" s="152">
        <v>2</v>
      </c>
      <c r="B22" s="124" t="s">
        <v>414</v>
      </c>
      <c r="C22" s="450" t="s">
        <v>507</v>
      </c>
    </row>
    <row r="23" spans="1:4" ht="35.25" customHeight="1">
      <c r="A23" s="152">
        <v>2</v>
      </c>
      <c r="B23" s="124" t="s">
        <v>415</v>
      </c>
      <c r="C23" s="112" t="s">
        <v>416</v>
      </c>
    </row>
    <row r="24" spans="1:4" ht="39" customHeight="1">
      <c r="A24" s="152">
        <v>2</v>
      </c>
      <c r="B24" s="124" t="s">
        <v>417</v>
      </c>
      <c r="C24" s="112" t="s">
        <v>418</v>
      </c>
    </row>
    <row r="25" spans="1:4" ht="72.75" customHeight="1">
      <c r="A25" s="408">
        <v>2</v>
      </c>
      <c r="B25" s="124" t="s">
        <v>167</v>
      </c>
      <c r="C25" s="138" t="s">
        <v>508</v>
      </c>
      <c r="D25" s="437"/>
    </row>
    <row r="26" spans="1:4" ht="102">
      <c r="A26" s="387">
        <v>3</v>
      </c>
      <c r="B26" s="438" t="s">
        <v>226</v>
      </c>
      <c r="C26" s="433" t="s">
        <v>513</v>
      </c>
      <c r="D26" s="433" t="s">
        <v>535</v>
      </c>
    </row>
    <row r="27" spans="1:4" ht="102" customHeight="1">
      <c r="A27" s="152">
        <v>3</v>
      </c>
      <c r="B27" s="124" t="s">
        <v>226</v>
      </c>
      <c r="C27" s="138" t="s">
        <v>419</v>
      </c>
    </row>
    <row r="28" spans="1:4" ht="79.5" customHeight="1">
      <c r="A28" s="408">
        <v>3</v>
      </c>
      <c r="B28" s="124" t="s">
        <v>420</v>
      </c>
      <c r="C28" s="138" t="s">
        <v>509</v>
      </c>
      <c r="D28" s="437"/>
    </row>
    <row r="29" spans="1:4" ht="57.75" customHeight="1">
      <c r="A29" s="152">
        <v>4</v>
      </c>
      <c r="B29" s="124" t="s">
        <v>421</v>
      </c>
      <c r="C29" s="138" t="s">
        <v>422</v>
      </c>
    </row>
    <row r="30" spans="1:4" ht="56.25" customHeight="1">
      <c r="A30" s="152">
        <v>4</v>
      </c>
      <c r="B30" s="124" t="s">
        <v>423</v>
      </c>
      <c r="C30" s="138" t="s">
        <v>424</v>
      </c>
    </row>
    <row r="31" spans="1:4" ht="45" customHeight="1">
      <c r="A31" s="407" t="s">
        <v>425</v>
      </c>
      <c r="B31" s="124" t="s">
        <v>391</v>
      </c>
      <c r="C31" s="138" t="s">
        <v>426</v>
      </c>
    </row>
    <row r="32" spans="1:4" ht="45" customHeight="1">
      <c r="A32" s="407" t="s">
        <v>443</v>
      </c>
      <c r="B32" s="124" t="s">
        <v>427</v>
      </c>
      <c r="C32" s="138" t="s">
        <v>500</v>
      </c>
    </row>
    <row r="33" spans="1:4" ht="51" customHeight="1">
      <c r="A33" s="407" t="s">
        <v>443</v>
      </c>
      <c r="B33" s="124" t="s">
        <v>428</v>
      </c>
      <c r="C33" s="433" t="s">
        <v>533</v>
      </c>
      <c r="D33" s="433" t="s">
        <v>536</v>
      </c>
    </row>
    <row r="34" spans="1:4" ht="47.25" customHeight="1">
      <c r="A34" s="407" t="s">
        <v>443</v>
      </c>
      <c r="B34" s="124" t="s">
        <v>429</v>
      </c>
      <c r="C34" s="138" t="s">
        <v>522</v>
      </c>
    </row>
    <row r="35" spans="1:4" ht="47.25" customHeight="1">
      <c r="A35" s="407" t="s">
        <v>443</v>
      </c>
      <c r="B35" s="124" t="s">
        <v>515</v>
      </c>
      <c r="C35" s="138" t="s">
        <v>514</v>
      </c>
    </row>
    <row r="36" spans="1:4" ht="50.25" customHeight="1">
      <c r="A36" s="407" t="s">
        <v>443</v>
      </c>
      <c r="B36" s="124" t="s">
        <v>430</v>
      </c>
      <c r="C36" s="138" t="s">
        <v>501</v>
      </c>
    </row>
    <row r="37" spans="1:4" ht="56.25" customHeight="1">
      <c r="A37" s="407" t="s">
        <v>443</v>
      </c>
      <c r="B37" s="124" t="s">
        <v>431</v>
      </c>
      <c r="C37" s="138" t="s">
        <v>502</v>
      </c>
    </row>
    <row r="38" spans="1:4" ht="61.5" customHeight="1">
      <c r="A38" s="407" t="s">
        <v>443</v>
      </c>
      <c r="B38" s="124" t="s">
        <v>432</v>
      </c>
      <c r="C38" s="138" t="s">
        <v>503</v>
      </c>
    </row>
    <row r="39" spans="1:4" ht="72" customHeight="1">
      <c r="A39" s="407" t="s">
        <v>443</v>
      </c>
      <c r="B39" s="124" t="s">
        <v>433</v>
      </c>
      <c r="C39" s="138" t="s">
        <v>504</v>
      </c>
    </row>
    <row r="40" spans="1:4" ht="61.5" customHeight="1">
      <c r="A40" s="407" t="s">
        <v>443</v>
      </c>
      <c r="B40" s="124" t="s">
        <v>434</v>
      </c>
      <c r="C40" s="138" t="s">
        <v>505</v>
      </c>
    </row>
    <row r="41" spans="1:4" ht="48" customHeight="1">
      <c r="A41" s="407" t="s">
        <v>443</v>
      </c>
      <c r="B41" s="124" t="s">
        <v>435</v>
      </c>
      <c r="C41" s="138" t="s">
        <v>506</v>
      </c>
    </row>
    <row r="42" spans="1:4" ht="38.25">
      <c r="A42" s="407" t="s">
        <v>443</v>
      </c>
      <c r="B42" s="124" t="s">
        <v>436</v>
      </c>
      <c r="C42" s="138" t="s">
        <v>534</v>
      </c>
    </row>
    <row r="43" spans="1:4">
      <c r="A43" s="2"/>
    </row>
  </sheetData>
  <autoFilter ref="D1:D43" xr:uid="{00000000-0001-0000-0B00-000000000000}"/>
  <hyperlinks>
    <hyperlink ref="A2" location="Cover!A1" display="Cover" xr:uid="{00000000-0004-0000-0B00-000000000000}"/>
    <hyperlink ref="A4" location="Cover!A1" display="Cover" xr:uid="{00000000-0004-0000-0B00-000001000000}"/>
    <hyperlink ref="A8" location="'Page 1'!A1" display="'Page 1'!A1" xr:uid="{00000000-0004-0000-0B00-000002000000}"/>
    <hyperlink ref="A11" location="'Page 1'!A1" display="'Page 1'!A1" xr:uid="{00000000-0004-0000-0B00-000003000000}"/>
    <hyperlink ref="A13" location="'Page 2'!A1" display="'Page 2'!A1" xr:uid="{00000000-0004-0000-0B00-000004000000}"/>
    <hyperlink ref="A17" location="'Page 2'!A1" display="'Page 2'!A1" xr:uid="{00000000-0004-0000-0B00-000005000000}"/>
    <hyperlink ref="A22" location="'Page 2'!A1" display="'Page 2'!A1" xr:uid="{00000000-0004-0000-0B00-000006000000}"/>
    <hyperlink ref="A26" location="'Page 3'!A1" display="'Page 3'!A1" xr:uid="{00000000-0004-0000-0B00-000007000000}"/>
    <hyperlink ref="A29" location="'Page 4'!A1" display="'Page 4'!A1" xr:uid="{00000000-0004-0000-0B00-000008000000}"/>
    <hyperlink ref="A30" location="'Page 4'!A1" display="'Page 4'!A1" xr:uid="{00000000-0004-0000-0B00-000009000000}"/>
    <hyperlink ref="A9" location="'Page 1'!A1" display="'Page 1'!A1" xr:uid="{00000000-0004-0000-0B00-00000A000000}"/>
    <hyperlink ref="A12" location="'Page 1'!A1" display="'Page 1'!A1" xr:uid="{00000000-0004-0000-0B00-00000B000000}"/>
    <hyperlink ref="A18" location="'Page 2'!A1" display="'Page 2'!A1" xr:uid="{00000000-0004-0000-0B00-00000C000000}"/>
    <hyperlink ref="A21" location="'Page 2'!A1" display="'Page 2'!A1" xr:uid="{00000000-0004-0000-0B00-00000D000000}"/>
    <hyperlink ref="A6" location="Cover!A1" display="Cover" xr:uid="{00000000-0004-0000-0B00-00000E000000}"/>
    <hyperlink ref="A3" location="Cover!A1" display="Cover" xr:uid="{00000000-0004-0000-0B00-00000F000000}"/>
    <hyperlink ref="A31" location="'Budget Summary'!A1" display="Budget Summary" xr:uid="{00000000-0004-0000-0B00-000010000000}"/>
    <hyperlink ref="A23" location="'Page 2'!A1" display="'Page 2'!A1" xr:uid="{00000000-0004-0000-0B00-000011000000}"/>
    <hyperlink ref="A24" location="'Page 2'!A1" display="'Page 2'!A1" xr:uid="{00000000-0004-0000-0B00-000012000000}"/>
    <hyperlink ref="A19" location="'Page 2'!A1" display="'Page 2'!A1" xr:uid="{00000000-0004-0000-0B00-000013000000}"/>
    <hyperlink ref="A14" location="'Page 2'!A1" display="'Page 2'!A1" xr:uid="{00000000-0004-0000-0B00-000014000000}"/>
    <hyperlink ref="C10" r:id="rId1" xr:uid="{00000000-0004-0000-0B00-000015000000}"/>
    <hyperlink ref="A7" location="Cover!A1" display="Cover" xr:uid="{00000000-0004-0000-0B00-000016000000}"/>
    <hyperlink ref="A15" location="'Page 2'!A1" display="'Page 2'!A1" xr:uid="{00000000-0004-0000-0B00-000017000000}"/>
    <hyperlink ref="A27" location="'Page 3'!A1" display="'Page 3'!A1" xr:uid="{00000000-0004-0000-0B00-000018000000}"/>
    <hyperlink ref="A25" location="'Page 2'!A1" display="'Page 2'!A1" xr:uid="{00000000-0004-0000-0B00-000019000000}"/>
    <hyperlink ref="A20" location="'Page 2'!A1" display="'Page 2'!A1" xr:uid="{00000000-0004-0000-0B00-00001A000000}"/>
    <hyperlink ref="A28" location="'Page 3'!A1" display="'Page 3'!A1" xr:uid="{00000000-0004-0000-0B00-00001B000000}"/>
    <hyperlink ref="A16" location="'Page 2'!A1" display="'Page 2'!A1" xr:uid="{00000000-0004-0000-0B00-00001C000000}"/>
    <hyperlink ref="A5" location="Cover!A1" display="Cover" xr:uid="{00000000-0004-0000-0B00-00001D000000}"/>
    <hyperlink ref="A32" location="'Project balances'!A1" display="Project balances" xr:uid="{00000000-0004-0000-0B00-00001E000000}"/>
    <hyperlink ref="A33:A42" location="'Project balances'!A1" display="Project balances" xr:uid="{00000000-0004-0000-0B00-00001F000000}"/>
    <hyperlink ref="A35" location="'Project balances'!A1" display="Project balances" xr:uid="{D2A49726-C3F7-440A-A2BE-246EA5A42E04}"/>
  </hyperlinks>
  <pageMargins left="0.7" right="0.7" top="0.75" bottom="0.75" header="0.3" footer="0.3"/>
  <pageSetup scale="79" orientation="landscape" r:id="rId2"/>
  <headerFooter scaleWithDoc="0">
    <oddFooter>&amp;L&amp;"Arial,Bold"Rev. 5/26 Arizona Department of Education and Auditor General&amp;R&amp;"Arial,Bold"Instructions</oddFooter>
  </headerFooter>
  <rowBreaks count="1" manualBreakCount="1">
    <brk id="13"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R49"/>
  <sheetViews>
    <sheetView showGridLines="0" topLeftCell="A11" zoomScale="115" zoomScaleNormal="115" workbookViewId="0">
      <selection activeCell="I16" sqref="I16"/>
    </sheetView>
  </sheetViews>
  <sheetFormatPr defaultColWidth="9" defaultRowHeight="12.75" customHeight="1"/>
  <cols>
    <col min="1" max="2" width="1.5703125" customWidth="1"/>
    <col min="3" max="3" width="14.5703125" customWidth="1"/>
    <col min="4" max="4" width="41.28515625" customWidth="1"/>
    <col min="5" max="5" width="4" customWidth="1"/>
    <col min="6" max="13" width="12.5703125" customWidth="1"/>
    <col min="14" max="14" width="4" style="3" customWidth="1"/>
    <col min="15" max="15" width="9" customWidth="1"/>
  </cols>
  <sheetData>
    <row r="1" spans="1:14" ht="12" customHeight="1">
      <c r="A1" t="s">
        <v>0</v>
      </c>
      <c r="D1" s="505" t="str">
        <f>CharterName</f>
        <v>Harvest Power Community Development Group</v>
      </c>
      <c r="E1" s="505"/>
      <c r="F1" s="505"/>
      <c r="H1" s="405" t="s">
        <v>1</v>
      </c>
      <c r="I1" s="506" t="str">
        <f>Cover!M1</f>
        <v>Yuma</v>
      </c>
      <c r="J1" s="506"/>
      <c r="L1" s="405" t="s">
        <v>2</v>
      </c>
      <c r="M1" s="506" t="str">
        <f>CTD</f>
        <v>148760000</v>
      </c>
      <c r="N1" s="506"/>
    </row>
    <row r="2" spans="1:14" ht="3.75" customHeight="1">
      <c r="A2" s="192"/>
      <c r="B2" s="192"/>
      <c r="C2" s="192"/>
      <c r="D2" s="128"/>
      <c r="E2" s="192"/>
      <c r="F2" s="192"/>
      <c r="G2" s="192"/>
      <c r="H2" s="192"/>
      <c r="I2" s="192"/>
      <c r="J2" s="401"/>
      <c r="K2" s="401"/>
      <c r="L2" s="401"/>
      <c r="M2" s="401"/>
    </row>
    <row r="3" spans="1:14" ht="12" customHeight="1">
      <c r="B3" s="193"/>
      <c r="D3" s="445" t="s">
        <v>460</v>
      </c>
      <c r="F3" s="194"/>
      <c r="H3" s="194" t="s">
        <v>51</v>
      </c>
      <c r="I3" s="194"/>
      <c r="J3" s="194"/>
      <c r="K3" s="195" t="s">
        <v>52</v>
      </c>
      <c r="L3" s="196"/>
      <c r="M3" s="197"/>
      <c r="N3" s="82"/>
    </row>
    <row r="4" spans="1:14" ht="12" customHeight="1">
      <c r="A4" t="s">
        <v>53</v>
      </c>
      <c r="D4" s="444"/>
      <c r="F4" s="198"/>
      <c r="G4" s="199" t="s">
        <v>54</v>
      </c>
      <c r="H4" s="194" t="s">
        <v>55</v>
      </c>
      <c r="J4" s="198"/>
      <c r="K4" s="194" t="s">
        <v>56</v>
      </c>
      <c r="L4" s="194" t="s">
        <v>57</v>
      </c>
      <c r="M4" s="107" t="s">
        <v>58</v>
      </c>
      <c r="N4" s="82"/>
    </row>
    <row r="5" spans="1:14" ht="12" customHeight="1">
      <c r="D5" s="444"/>
      <c r="F5" s="194" t="s">
        <v>59</v>
      </c>
      <c r="G5" s="199" t="s">
        <v>60</v>
      </c>
      <c r="H5" s="194" t="s">
        <v>61</v>
      </c>
      <c r="I5" s="194" t="s">
        <v>62</v>
      </c>
      <c r="J5" s="194" t="s">
        <v>63</v>
      </c>
      <c r="K5" s="194" t="s">
        <v>64</v>
      </c>
      <c r="L5" s="194" t="s">
        <v>64</v>
      </c>
      <c r="M5" s="107" t="s">
        <v>65</v>
      </c>
      <c r="N5" s="82"/>
    </row>
    <row r="6" spans="1:14" ht="12" customHeight="1">
      <c r="A6" s="200" t="s">
        <v>66</v>
      </c>
      <c r="B6" s="401"/>
      <c r="C6" s="401"/>
      <c r="D6" s="401"/>
      <c r="E6" s="401"/>
      <c r="F6" s="201">
        <v>6100</v>
      </c>
      <c r="G6" s="201">
        <v>6200</v>
      </c>
      <c r="H6" s="201">
        <v>6500</v>
      </c>
      <c r="I6" s="201">
        <v>6600</v>
      </c>
      <c r="J6" s="201">
        <v>6800</v>
      </c>
      <c r="K6" s="194">
        <v>2026</v>
      </c>
      <c r="L6" s="107">
        <v>2027</v>
      </c>
      <c r="M6" s="107" t="s">
        <v>67</v>
      </c>
      <c r="N6" s="82"/>
    </row>
    <row r="7" spans="1:14" ht="12" customHeight="1">
      <c r="A7" t="s">
        <v>68</v>
      </c>
      <c r="F7" s="202"/>
      <c r="G7" s="202"/>
      <c r="H7" s="202"/>
      <c r="I7" s="202"/>
      <c r="J7" s="203"/>
      <c r="K7" s="204"/>
      <c r="L7" s="204"/>
      <c r="M7" s="205"/>
    </row>
    <row r="8" spans="1:14" ht="12" customHeight="1">
      <c r="B8" t="s">
        <v>69</v>
      </c>
      <c r="E8" s="389">
        <v>1</v>
      </c>
      <c r="F8" s="626">
        <v>4900000</v>
      </c>
      <c r="G8" s="626">
        <v>800000</v>
      </c>
      <c r="H8" s="626">
        <v>190000</v>
      </c>
      <c r="I8" s="626">
        <v>800000</v>
      </c>
      <c r="J8" s="627">
        <v>10000</v>
      </c>
      <c r="K8" s="208">
        <f>[1]!SP1000P100F1000</f>
        <v>6180000</v>
      </c>
      <c r="L8" s="208">
        <f>SUM(F8:J8)</f>
        <v>6700000</v>
      </c>
      <c r="M8" s="209">
        <f>IF(K8=0," ",(L8-K8)/K8)</f>
        <v>8.4000000000000005E-2</v>
      </c>
      <c r="N8" s="210">
        <v>1</v>
      </c>
    </row>
    <row r="9" spans="1:14" ht="12" customHeight="1">
      <c r="B9" t="s">
        <v>70</v>
      </c>
      <c r="E9" s="389"/>
      <c r="F9" s="628"/>
      <c r="G9" s="628"/>
      <c r="H9" s="628"/>
      <c r="I9" s="628"/>
      <c r="J9" s="629"/>
      <c r="K9" s="205"/>
      <c r="L9" s="205"/>
      <c r="M9" s="205"/>
      <c r="N9" s="210"/>
    </row>
    <row r="10" spans="1:14" ht="12" customHeight="1">
      <c r="B10" t="s">
        <v>71</v>
      </c>
      <c r="E10" s="389">
        <v>2</v>
      </c>
      <c r="F10" s="626">
        <v>360000</v>
      </c>
      <c r="G10" s="626">
        <v>60000</v>
      </c>
      <c r="H10" s="626">
        <v>320000</v>
      </c>
      <c r="I10" s="626">
        <v>135000</v>
      </c>
      <c r="J10" s="627">
        <v>25000</v>
      </c>
      <c r="K10" s="206">
        <f>[1]!SP1000P100F2100</f>
        <v>830000</v>
      </c>
      <c r="L10" s="206">
        <f>SUM(F10:J10)</f>
        <v>900000</v>
      </c>
      <c r="M10" s="211">
        <f>IF(K10=0," ",(L10-K10)/K10)</f>
        <v>8.4000000000000005E-2</v>
      </c>
      <c r="N10" s="210">
        <v>2</v>
      </c>
    </row>
    <row r="11" spans="1:14" ht="12" customHeight="1">
      <c r="B11" t="s">
        <v>72</v>
      </c>
      <c r="E11" s="389">
        <v>3</v>
      </c>
      <c r="F11" s="626">
        <v>280000</v>
      </c>
      <c r="G11" s="626">
        <v>52000</v>
      </c>
      <c r="H11" s="626">
        <v>360000</v>
      </c>
      <c r="I11" s="626">
        <v>15000</v>
      </c>
      <c r="J11" s="626">
        <v>5000</v>
      </c>
      <c r="K11" s="206">
        <f>[1]!SP1000P100F2200</f>
        <v>648000</v>
      </c>
      <c r="L11" s="206">
        <f t="shared" ref="L11:L23" si="0">SUM(F11:J11)</f>
        <v>712000</v>
      </c>
      <c r="M11" s="211">
        <f t="shared" ref="M11:M23" si="1">IF(K11=0," ",(L11-K11)/K11)</f>
        <v>9.9000000000000005E-2</v>
      </c>
      <c r="N11" s="212">
        <v>3</v>
      </c>
    </row>
    <row r="12" spans="1:14" ht="12" customHeight="1">
      <c r="B12" t="s">
        <v>73</v>
      </c>
      <c r="E12" s="389">
        <v>4</v>
      </c>
      <c r="F12" s="626"/>
      <c r="G12" s="626"/>
      <c r="H12" s="626">
        <v>120000</v>
      </c>
      <c r="I12" s="626"/>
      <c r="J12" s="626"/>
      <c r="K12" s="213">
        <f>[1]!SP1000P100F2300</f>
        <v>110000</v>
      </c>
      <c r="L12" s="206">
        <f t="shared" si="0"/>
        <v>120000</v>
      </c>
      <c r="M12" s="211">
        <f t="shared" si="1"/>
        <v>9.0999999999999998E-2</v>
      </c>
      <c r="N12" s="212">
        <v>4</v>
      </c>
    </row>
    <row r="13" spans="1:14" ht="12" customHeight="1">
      <c r="B13" t="s">
        <v>74</v>
      </c>
      <c r="E13" s="389">
        <v>5</v>
      </c>
      <c r="F13" s="626">
        <v>1050000</v>
      </c>
      <c r="G13" s="626">
        <v>230000</v>
      </c>
      <c r="H13" s="626">
        <v>245000</v>
      </c>
      <c r="I13" s="626">
        <v>35000</v>
      </c>
      <c r="J13" s="626">
        <v>5000</v>
      </c>
      <c r="K13" s="213">
        <f>[1]!SP1000P100F2400</f>
        <v>1485000</v>
      </c>
      <c r="L13" s="206">
        <f t="shared" si="0"/>
        <v>1565000</v>
      </c>
      <c r="M13" s="211">
        <f t="shared" si="1"/>
        <v>5.3999999999999999E-2</v>
      </c>
      <c r="N13" s="212">
        <v>5</v>
      </c>
    </row>
    <row r="14" spans="1:14" ht="12" customHeight="1">
      <c r="B14" t="s">
        <v>75</v>
      </c>
      <c r="E14" s="389">
        <v>6</v>
      </c>
      <c r="F14" s="626">
        <v>500000</v>
      </c>
      <c r="G14" s="626">
        <v>92000</v>
      </c>
      <c r="H14" s="626">
        <v>575000</v>
      </c>
      <c r="I14" s="626">
        <v>16000</v>
      </c>
      <c r="J14" s="626">
        <v>10000</v>
      </c>
      <c r="K14" s="213">
        <f>[1]!SP1000P100F2500</f>
        <v>1123000</v>
      </c>
      <c r="L14" s="206">
        <f>SUM(F14:J14)</f>
        <v>1193000</v>
      </c>
      <c r="M14" s="211">
        <f t="shared" si="1"/>
        <v>6.2E-2</v>
      </c>
      <c r="N14" s="212">
        <v>6</v>
      </c>
    </row>
    <row r="15" spans="1:14" ht="12" customHeight="1">
      <c r="B15" t="s">
        <v>76</v>
      </c>
      <c r="E15" s="389">
        <v>7</v>
      </c>
      <c r="F15" s="626">
        <v>370000</v>
      </c>
      <c r="G15" s="626">
        <v>50000</v>
      </c>
      <c r="H15" s="626">
        <v>2000000</v>
      </c>
      <c r="I15" s="626">
        <v>400000</v>
      </c>
      <c r="J15" s="626">
        <v>30000</v>
      </c>
      <c r="K15" s="213">
        <f>[1]!SP1000P100F2600</f>
        <v>2587000</v>
      </c>
      <c r="L15" s="206">
        <f t="shared" si="0"/>
        <v>2850000</v>
      </c>
      <c r="M15" s="211">
        <f t="shared" si="1"/>
        <v>0.10199999999999999</v>
      </c>
      <c r="N15" s="212">
        <v>7</v>
      </c>
    </row>
    <row r="16" spans="1:14" ht="12" customHeight="1">
      <c r="B16" t="s">
        <v>77</v>
      </c>
      <c r="E16" s="389">
        <v>8</v>
      </c>
      <c r="F16" s="626"/>
      <c r="G16" s="626"/>
      <c r="H16" s="626"/>
      <c r="I16" s="626"/>
      <c r="J16" s="626"/>
      <c r="K16" s="213">
        <f>[1]!SP1000P100F2900</f>
        <v>0</v>
      </c>
      <c r="L16" s="206">
        <f t="shared" si="0"/>
        <v>0</v>
      </c>
      <c r="M16" s="211" t="str">
        <f t="shared" si="1"/>
        <v xml:space="preserve"> </v>
      </c>
      <c r="N16" s="212">
        <v>8</v>
      </c>
    </row>
    <row r="17" spans="1:14" ht="12" customHeight="1">
      <c r="B17" t="s">
        <v>78</v>
      </c>
      <c r="E17" s="389">
        <v>9</v>
      </c>
      <c r="F17" s="626"/>
      <c r="G17" s="626"/>
      <c r="H17" s="626"/>
      <c r="I17" s="626">
        <v>1050000</v>
      </c>
      <c r="J17" s="626"/>
      <c r="K17" s="213">
        <f>[1]!SP1000P100F3000</f>
        <v>1000000</v>
      </c>
      <c r="L17" s="206">
        <f t="shared" si="0"/>
        <v>1050000</v>
      </c>
      <c r="M17" s="211">
        <f t="shared" si="1"/>
        <v>0.05</v>
      </c>
      <c r="N17" s="212">
        <v>9</v>
      </c>
    </row>
    <row r="18" spans="1:14" ht="12" customHeight="1">
      <c r="B18" t="s">
        <v>79</v>
      </c>
      <c r="E18" s="389">
        <v>10</v>
      </c>
      <c r="F18" s="626"/>
      <c r="G18" s="626"/>
      <c r="H18" s="626"/>
      <c r="I18" s="626"/>
      <c r="J18" s="626"/>
      <c r="K18" s="213">
        <f>[1]!SP1000P100F4000</f>
        <v>0</v>
      </c>
      <c r="L18" s="206">
        <f t="shared" si="0"/>
        <v>0</v>
      </c>
      <c r="M18" s="211" t="str">
        <f t="shared" si="1"/>
        <v xml:space="preserve"> </v>
      </c>
      <c r="N18" s="212">
        <v>10</v>
      </c>
    </row>
    <row r="19" spans="1:14" ht="12" customHeight="1">
      <c r="B19" t="s">
        <v>80</v>
      </c>
      <c r="E19" s="214">
        <v>11</v>
      </c>
      <c r="F19" s="630"/>
      <c r="G19" s="626"/>
      <c r="H19" s="626"/>
      <c r="I19" s="626"/>
      <c r="J19" s="626">
        <v>688516</v>
      </c>
      <c r="K19" s="213">
        <f>[1]!SP1000P100F5000</f>
        <v>688516</v>
      </c>
      <c r="L19" s="206">
        <f t="shared" si="0"/>
        <v>688516</v>
      </c>
      <c r="M19" s="211">
        <f t="shared" si="1"/>
        <v>0</v>
      </c>
      <c r="N19" s="212">
        <v>11</v>
      </c>
    </row>
    <row r="20" spans="1:14" ht="12" customHeight="1">
      <c r="A20" t="s">
        <v>81</v>
      </c>
      <c r="E20" s="214">
        <v>12</v>
      </c>
      <c r="F20" s="16"/>
      <c r="G20" s="7"/>
      <c r="H20" s="7"/>
      <c r="I20" s="7"/>
      <c r="J20" s="7"/>
      <c r="K20" s="206">
        <f>[1]!SP1000P610</f>
        <v>0</v>
      </c>
      <c r="L20" s="206">
        <f t="shared" si="0"/>
        <v>0</v>
      </c>
      <c r="M20" s="211" t="str">
        <f t="shared" si="1"/>
        <v xml:space="preserve"> </v>
      </c>
      <c r="N20" s="212">
        <v>12</v>
      </c>
    </row>
    <row r="21" spans="1:14" ht="12" customHeight="1">
      <c r="A21" t="s">
        <v>82</v>
      </c>
      <c r="E21" s="214">
        <v>13</v>
      </c>
      <c r="F21" s="16"/>
      <c r="G21" s="7"/>
      <c r="H21" s="7"/>
      <c r="I21" s="7"/>
      <c r="J21" s="7"/>
      <c r="K21" s="206">
        <f>[1]!SP1000P620</f>
        <v>0</v>
      </c>
      <c r="L21" s="206">
        <f>SUM(F21:J21)</f>
        <v>0</v>
      </c>
      <c r="M21" s="211" t="str">
        <f t="shared" si="1"/>
        <v xml:space="preserve"> </v>
      </c>
      <c r="N21" s="212">
        <v>13</v>
      </c>
    </row>
    <row r="22" spans="1:14" ht="12" customHeight="1">
      <c r="A22" t="s">
        <v>83</v>
      </c>
      <c r="E22" s="214">
        <v>14</v>
      </c>
      <c r="F22" s="16"/>
      <c r="G22" s="7"/>
      <c r="H22" s="7"/>
      <c r="I22" s="7"/>
      <c r="J22" s="7"/>
      <c r="K22" s="206">
        <f>[1]!SP1000P630700800900</f>
        <v>0</v>
      </c>
      <c r="L22" s="206">
        <f t="shared" si="0"/>
        <v>0</v>
      </c>
      <c r="M22" s="211" t="str">
        <f t="shared" si="1"/>
        <v xml:space="preserve"> </v>
      </c>
      <c r="N22" s="212">
        <v>14</v>
      </c>
    </row>
    <row r="23" spans="1:14" ht="12" customHeight="1">
      <c r="A23" s="401"/>
      <c r="B23" s="401" t="s">
        <v>84</v>
      </c>
      <c r="C23" s="401"/>
      <c r="D23" s="401"/>
      <c r="E23" s="216">
        <v>15</v>
      </c>
      <c r="F23" s="206">
        <f>SUM(F7:F22)</f>
        <v>7460000</v>
      </c>
      <c r="G23" s="206">
        <f>SUM(G7:G22)</f>
        <v>1284000</v>
      </c>
      <c r="H23" s="206">
        <f>SUM(H7:H22)</f>
        <v>3810000</v>
      </c>
      <c r="I23" s="206">
        <f>SUM(I7:I22)</f>
        <v>2451000</v>
      </c>
      <c r="J23" s="206">
        <f>SUM(J7:J22)</f>
        <v>773516</v>
      </c>
      <c r="K23" s="217">
        <f>SUM(K8:K22)</f>
        <v>14651516</v>
      </c>
      <c r="L23" s="217">
        <f t="shared" si="0"/>
        <v>15778516</v>
      </c>
      <c r="M23" s="211">
        <f t="shared" si="1"/>
        <v>7.6999999999999999E-2</v>
      </c>
      <c r="N23" s="212">
        <v>15</v>
      </c>
    </row>
    <row r="24" spans="1:14" ht="12" customHeight="1">
      <c r="A24" t="s">
        <v>85</v>
      </c>
      <c r="E24" s="389"/>
      <c r="F24" s="202"/>
      <c r="G24" s="202"/>
      <c r="H24" s="202"/>
      <c r="I24" s="202"/>
      <c r="J24" s="203"/>
      <c r="K24" s="205"/>
      <c r="L24" s="205"/>
      <c r="M24" s="205"/>
      <c r="N24" s="212"/>
    </row>
    <row r="25" spans="1:14" ht="12" customHeight="1">
      <c r="B25" t="s">
        <v>69</v>
      </c>
      <c r="E25" s="389">
        <v>16</v>
      </c>
      <c r="F25" s="626">
        <v>294000</v>
      </c>
      <c r="G25" s="626">
        <v>52000</v>
      </c>
      <c r="H25" s="626"/>
      <c r="I25" s="7"/>
      <c r="J25" s="22"/>
      <c r="K25" s="206">
        <f>[1]!SP1000P200F1000</f>
        <v>346000</v>
      </c>
      <c r="L25" s="206">
        <f>SUM(F25:J25)</f>
        <v>346000</v>
      </c>
      <c r="M25" s="218">
        <f>IF(K25=0," ",(L25-K25)/K25)</f>
        <v>0</v>
      </c>
      <c r="N25" s="212">
        <v>16</v>
      </c>
    </row>
    <row r="26" spans="1:14" ht="12" customHeight="1">
      <c r="B26" t="s">
        <v>70</v>
      </c>
      <c r="E26" s="389"/>
      <c r="F26" s="628"/>
      <c r="G26" s="628"/>
      <c r="H26" s="628"/>
      <c r="I26" s="202"/>
      <c r="J26" s="203"/>
      <c r="K26" s="205"/>
      <c r="L26" s="205"/>
      <c r="M26" s="205"/>
      <c r="N26" s="212"/>
    </row>
    <row r="27" spans="1:14" ht="12" customHeight="1">
      <c r="B27" t="s">
        <v>71</v>
      </c>
      <c r="E27" s="214">
        <v>17</v>
      </c>
      <c r="F27" s="626">
        <v>57000</v>
      </c>
      <c r="G27" s="626">
        <v>10000</v>
      </c>
      <c r="H27" s="626">
        <v>10000</v>
      </c>
      <c r="I27" s="7"/>
      <c r="J27" s="22"/>
      <c r="K27" s="206">
        <f>[1]!SP1000P200F2100</f>
        <v>77000</v>
      </c>
      <c r="L27" s="206">
        <f>SUM(F27:J27)</f>
        <v>77000</v>
      </c>
      <c r="M27" s="218">
        <f>IF(K27=0," ",(L27-K27)/K27)</f>
        <v>0</v>
      </c>
      <c r="N27" s="212">
        <v>17</v>
      </c>
    </row>
    <row r="28" spans="1:14" ht="12" customHeight="1">
      <c r="B28" t="s">
        <v>72</v>
      </c>
      <c r="E28" s="214">
        <v>18</v>
      </c>
      <c r="F28" s="7"/>
      <c r="G28" s="7"/>
      <c r="H28" s="7"/>
      <c r="I28" s="7"/>
      <c r="J28" s="7"/>
      <c r="K28" s="206">
        <f>[1]!SP1000P200F2200</f>
        <v>0</v>
      </c>
      <c r="L28" s="206">
        <f t="shared" ref="L28:L42" si="2">SUM(F28:J28)</f>
        <v>0</v>
      </c>
      <c r="M28" s="219" t="str">
        <f t="shared" ref="M28:M48" si="3">IF(K28=0," ",(L28-K28)/K28)</f>
        <v xml:space="preserve"> </v>
      </c>
      <c r="N28" s="212">
        <v>18</v>
      </c>
    </row>
    <row r="29" spans="1:14" ht="12" customHeight="1">
      <c r="B29" t="s">
        <v>73</v>
      </c>
      <c r="E29" s="214">
        <v>19</v>
      </c>
      <c r="F29" s="7"/>
      <c r="G29" s="7"/>
      <c r="H29" s="7"/>
      <c r="I29" s="7"/>
      <c r="J29" s="7"/>
      <c r="K29" s="213">
        <f>[1]!SP1000P200F2300</f>
        <v>0</v>
      </c>
      <c r="L29" s="206">
        <f t="shared" si="2"/>
        <v>0</v>
      </c>
      <c r="M29" s="211" t="str">
        <f t="shared" si="3"/>
        <v xml:space="preserve"> </v>
      </c>
      <c r="N29" s="212">
        <v>19</v>
      </c>
    </row>
    <row r="30" spans="1:14" ht="12" customHeight="1">
      <c r="B30" t="s">
        <v>74</v>
      </c>
      <c r="E30" s="214">
        <v>20</v>
      </c>
      <c r="F30" s="7"/>
      <c r="G30" s="7"/>
      <c r="H30" s="7"/>
      <c r="I30" s="7"/>
      <c r="J30" s="7"/>
      <c r="K30" s="213">
        <f>[1]!SP1000P200F2400</f>
        <v>0</v>
      </c>
      <c r="L30" s="206">
        <f t="shared" si="2"/>
        <v>0</v>
      </c>
      <c r="M30" s="211" t="str">
        <f t="shared" si="3"/>
        <v xml:space="preserve"> </v>
      </c>
      <c r="N30" s="212">
        <v>20</v>
      </c>
    </row>
    <row r="31" spans="1:14" ht="12" customHeight="1">
      <c r="B31" t="s">
        <v>75</v>
      </c>
      <c r="E31" s="214">
        <v>21</v>
      </c>
      <c r="F31" s="7"/>
      <c r="G31" s="7"/>
      <c r="H31" s="7"/>
      <c r="I31" s="7"/>
      <c r="J31" s="7"/>
      <c r="K31" s="213">
        <f>[1]!SP1000P200F2500</f>
        <v>0</v>
      </c>
      <c r="L31" s="206">
        <f>SUM(F31:J31)</f>
        <v>0</v>
      </c>
      <c r="M31" s="211" t="str">
        <f t="shared" si="3"/>
        <v xml:space="preserve"> </v>
      </c>
      <c r="N31" s="212">
        <v>21</v>
      </c>
    </row>
    <row r="32" spans="1:14" ht="12" customHeight="1">
      <c r="B32" t="s">
        <v>76</v>
      </c>
      <c r="E32" s="214">
        <v>22</v>
      </c>
      <c r="F32" s="7"/>
      <c r="G32" s="7"/>
      <c r="H32" s="7"/>
      <c r="I32" s="7"/>
      <c r="J32" s="7"/>
      <c r="K32" s="213">
        <f>[1]!SP1000P200F2600</f>
        <v>0</v>
      </c>
      <c r="L32" s="206">
        <f t="shared" si="2"/>
        <v>0</v>
      </c>
      <c r="M32" s="211" t="str">
        <f t="shared" si="3"/>
        <v xml:space="preserve"> </v>
      </c>
      <c r="N32" s="212">
        <v>22</v>
      </c>
    </row>
    <row r="33" spans="1:18" ht="12" customHeight="1">
      <c r="B33" t="s">
        <v>77</v>
      </c>
      <c r="E33" s="214">
        <v>23</v>
      </c>
      <c r="F33" s="7"/>
      <c r="G33" s="7"/>
      <c r="H33" s="7"/>
      <c r="I33" s="7"/>
      <c r="J33" s="7"/>
      <c r="K33" s="213">
        <f>[1]!SP1000P200F2900</f>
        <v>0</v>
      </c>
      <c r="L33" s="206">
        <f t="shared" si="2"/>
        <v>0</v>
      </c>
      <c r="M33" s="211" t="str">
        <f t="shared" si="3"/>
        <v xml:space="preserve"> </v>
      </c>
      <c r="N33" s="212">
        <v>23</v>
      </c>
    </row>
    <row r="34" spans="1:18" ht="12" customHeight="1">
      <c r="B34" t="s">
        <v>78</v>
      </c>
      <c r="E34" s="214">
        <v>24</v>
      </c>
      <c r="F34" s="7"/>
      <c r="G34" s="7"/>
      <c r="H34" s="7"/>
      <c r="I34" s="7"/>
      <c r="J34" s="7"/>
      <c r="K34" s="213">
        <f>[1]!SP1000P200F3000</f>
        <v>0</v>
      </c>
      <c r="L34" s="206">
        <f t="shared" si="2"/>
        <v>0</v>
      </c>
      <c r="M34" s="211" t="str">
        <f t="shared" si="3"/>
        <v xml:space="preserve"> </v>
      </c>
      <c r="N34" s="212">
        <v>24</v>
      </c>
      <c r="R34" s="193"/>
    </row>
    <row r="35" spans="1:18" ht="12" customHeight="1">
      <c r="B35" t="s">
        <v>79</v>
      </c>
      <c r="E35" s="214">
        <v>25</v>
      </c>
      <c r="F35" s="7"/>
      <c r="G35" s="7"/>
      <c r="H35" s="7"/>
      <c r="I35" s="7"/>
      <c r="J35" s="7"/>
      <c r="K35" s="213">
        <f>[1]!SP1000P200F4000</f>
        <v>0</v>
      </c>
      <c r="L35" s="206">
        <f t="shared" si="2"/>
        <v>0</v>
      </c>
      <c r="M35" s="211" t="str">
        <f t="shared" si="3"/>
        <v xml:space="preserve"> </v>
      </c>
      <c r="N35" s="212">
        <v>25</v>
      </c>
    </row>
    <row r="36" spans="1:18" ht="12" customHeight="1">
      <c r="B36" t="s">
        <v>80</v>
      </c>
      <c r="E36" s="389">
        <v>26</v>
      </c>
      <c r="F36" s="7"/>
      <c r="G36" s="7"/>
      <c r="H36" s="7"/>
      <c r="I36" s="7"/>
      <c r="J36" s="7"/>
      <c r="K36" s="213">
        <f>[1]!SP1000P200F5000</f>
        <v>0</v>
      </c>
      <c r="L36" s="206">
        <f t="shared" si="2"/>
        <v>0</v>
      </c>
      <c r="M36" s="211" t="str">
        <f t="shared" si="3"/>
        <v xml:space="preserve"> </v>
      </c>
      <c r="N36" s="212">
        <v>26</v>
      </c>
    </row>
    <row r="37" spans="1:18" ht="12" customHeight="1">
      <c r="A37" s="401"/>
      <c r="B37" s="401" t="s">
        <v>86</v>
      </c>
      <c r="C37" s="401"/>
      <c r="D37" s="401"/>
      <c r="E37" s="216">
        <v>27</v>
      </c>
      <c r="F37" s="213">
        <f>SUM(F24:F36)</f>
        <v>351000</v>
      </c>
      <c r="G37" s="213">
        <f>SUM(G24:G36)</f>
        <v>62000</v>
      </c>
      <c r="H37" s="213">
        <f>SUM(H24:H36)</f>
        <v>10000</v>
      </c>
      <c r="I37" s="213">
        <f>SUM(I24:I36)</f>
        <v>0</v>
      </c>
      <c r="J37" s="213">
        <f>SUM(J24:J36)</f>
        <v>0</v>
      </c>
      <c r="K37" s="213">
        <f>SUM(K25:K36)</f>
        <v>423000</v>
      </c>
      <c r="L37" s="213">
        <f t="shared" si="2"/>
        <v>423000</v>
      </c>
      <c r="M37" s="219">
        <f t="shared" si="3"/>
        <v>0</v>
      </c>
      <c r="N37" s="212">
        <v>27</v>
      </c>
    </row>
    <row r="38" spans="1:18" ht="0.75" customHeight="1">
      <c r="A38" t="s">
        <v>87</v>
      </c>
      <c r="E38" s="389">
        <v>28</v>
      </c>
      <c r="F38" s="220"/>
      <c r="G38" s="220"/>
      <c r="H38" s="220"/>
      <c r="I38" s="220"/>
      <c r="J38" s="220"/>
      <c r="K38" s="220"/>
      <c r="L38" s="220"/>
      <c r="M38" s="221"/>
      <c r="N38" s="210">
        <v>28</v>
      </c>
    </row>
    <row r="39" spans="1:18" ht="12" customHeight="1">
      <c r="A39" s="401" t="s">
        <v>88</v>
      </c>
      <c r="B39" s="401"/>
      <c r="C39" s="401"/>
      <c r="D39" s="401"/>
      <c r="E39" s="216">
        <v>28</v>
      </c>
      <c r="F39" s="7"/>
      <c r="G39" s="7"/>
      <c r="H39" s="7"/>
      <c r="I39" s="7"/>
      <c r="J39" s="7"/>
      <c r="K39" s="206">
        <f>[1]!SP1000P400</f>
        <v>1045000</v>
      </c>
      <c r="L39" s="206">
        <f t="shared" si="2"/>
        <v>0</v>
      </c>
      <c r="M39" s="211">
        <f t="shared" si="3"/>
        <v>-1</v>
      </c>
      <c r="N39" s="212">
        <v>28</v>
      </c>
    </row>
    <row r="40" spans="1:18" ht="12" customHeight="1">
      <c r="A40" s="401" t="s">
        <v>89</v>
      </c>
      <c r="B40" s="401"/>
      <c r="C40" s="401"/>
      <c r="D40" s="401"/>
      <c r="E40" s="222">
        <v>29</v>
      </c>
      <c r="F40" s="7"/>
      <c r="G40" s="7"/>
      <c r="H40" s="7"/>
      <c r="I40" s="7"/>
      <c r="J40" s="7"/>
      <c r="K40" s="213">
        <f>[1]!SP1000P530</f>
        <v>0</v>
      </c>
      <c r="L40" s="206">
        <f>SUM(F40:J40)</f>
        <v>0</v>
      </c>
      <c r="M40" s="211" t="str">
        <f t="shared" si="3"/>
        <v xml:space="preserve"> </v>
      </c>
      <c r="N40" s="212">
        <v>29</v>
      </c>
    </row>
    <row r="41" spans="1:18" ht="12" customHeight="1">
      <c r="A41" s="401" t="s">
        <v>90</v>
      </c>
      <c r="B41" s="401"/>
      <c r="C41" s="401"/>
      <c r="D41" s="401"/>
      <c r="E41" s="222">
        <v>30</v>
      </c>
      <c r="F41" s="7"/>
      <c r="G41" s="7"/>
      <c r="H41" s="7"/>
      <c r="I41" s="7"/>
      <c r="J41" s="7"/>
      <c r="K41" s="213">
        <f>[1]!SP1000P540</f>
        <v>0</v>
      </c>
      <c r="L41" s="206">
        <f t="shared" si="2"/>
        <v>0</v>
      </c>
      <c r="M41" s="211" t="str">
        <f t="shared" si="3"/>
        <v xml:space="preserve"> </v>
      </c>
      <c r="N41" s="212">
        <v>30</v>
      </c>
    </row>
    <row r="42" spans="1:18" ht="12" customHeight="1">
      <c r="A42" s="223" t="s">
        <v>91</v>
      </c>
      <c r="B42" s="224"/>
      <c r="C42" s="224"/>
      <c r="D42" s="224"/>
      <c r="E42" s="222">
        <v>31</v>
      </c>
      <c r="F42" s="7">
        <v>98000</v>
      </c>
      <c r="G42" s="7">
        <v>7353</v>
      </c>
      <c r="H42" s="7"/>
      <c r="I42" s="7"/>
      <c r="J42" s="7"/>
      <c r="K42" s="213">
        <f>[1]!SP1000P550</f>
        <v>0</v>
      </c>
      <c r="L42" s="206">
        <f t="shared" si="2"/>
        <v>105353</v>
      </c>
      <c r="M42" s="211" t="str">
        <f t="shared" si="3"/>
        <v xml:space="preserve"> </v>
      </c>
      <c r="N42" s="212">
        <v>31</v>
      </c>
    </row>
    <row r="43" spans="1:18" ht="12" customHeight="1">
      <c r="A43" s="401"/>
      <c r="B43" s="401" t="s">
        <v>92</v>
      </c>
      <c r="C43" s="401"/>
      <c r="D43" s="401"/>
      <c r="E43" s="222">
        <v>32</v>
      </c>
      <c r="F43" s="206">
        <f t="shared" ref="F43:K43" si="4">SUM(F37:F42)+F23</f>
        <v>7909000</v>
      </c>
      <c r="G43" s="206">
        <f t="shared" si="4"/>
        <v>1353353</v>
      </c>
      <c r="H43" s="206">
        <f t="shared" si="4"/>
        <v>3820000</v>
      </c>
      <c r="I43" s="206">
        <f t="shared" si="4"/>
        <v>2451000</v>
      </c>
      <c r="J43" s="206">
        <f t="shared" si="4"/>
        <v>773516</v>
      </c>
      <c r="K43" s="206">
        <f t="shared" si="4"/>
        <v>16119516</v>
      </c>
      <c r="L43" s="206">
        <f>SUM(F43:J43)</f>
        <v>16306869</v>
      </c>
      <c r="M43" s="211">
        <f t="shared" si="3"/>
        <v>1.2E-2</v>
      </c>
      <c r="N43" s="212">
        <v>32</v>
      </c>
    </row>
    <row r="44" spans="1:18" ht="12" customHeight="1">
      <c r="A44" s="401" t="s">
        <v>93</v>
      </c>
      <c r="B44" s="401"/>
      <c r="C44" s="401"/>
      <c r="D44" s="401"/>
      <c r="E44" s="222">
        <v>33</v>
      </c>
      <c r="F44" s="206">
        <f>TotalCSP6100</f>
        <v>1500000</v>
      </c>
      <c r="G44" s="206">
        <f>TotalCSP6200</f>
        <v>300000</v>
      </c>
      <c r="H44" s="206">
        <f>TotalCSP630064006500</f>
        <v>0</v>
      </c>
      <c r="I44" s="206">
        <f>TotalCSP6600</f>
        <v>0</v>
      </c>
      <c r="J44" s="225"/>
      <c r="K44" s="206">
        <f>[1]!SP1000ClassSiteProj</f>
        <v>1500000</v>
      </c>
      <c r="L44" s="206">
        <f>SUM(F44:J44)</f>
        <v>1800000</v>
      </c>
      <c r="M44" s="211">
        <f t="shared" si="3"/>
        <v>0.2</v>
      </c>
      <c r="N44" s="212">
        <v>33</v>
      </c>
    </row>
    <row r="45" spans="1:18" ht="12" customHeight="1">
      <c r="A45" s="401" t="s">
        <v>94</v>
      </c>
      <c r="B45" s="401"/>
      <c r="C45" s="401"/>
      <c r="D45" s="401"/>
      <c r="E45" s="222">
        <v>34</v>
      </c>
      <c r="F45" s="225"/>
      <c r="G45" s="225"/>
      <c r="H45" s="225"/>
      <c r="I45" s="225"/>
      <c r="J45" s="225"/>
      <c r="K45" s="206">
        <f>[1]!SP1000InstrImpProj</f>
        <v>120000</v>
      </c>
      <c r="L45" s="206">
        <f>TotalInstructionalImprovement</f>
        <v>140000</v>
      </c>
      <c r="M45" s="211">
        <f t="shared" si="3"/>
        <v>0.16700000000000001</v>
      </c>
      <c r="N45" s="212">
        <v>34</v>
      </c>
    </row>
    <row r="46" spans="1:18" ht="12" customHeight="1">
      <c r="A46" s="401" t="s">
        <v>95</v>
      </c>
      <c r="B46" s="401"/>
      <c r="C46" s="401"/>
      <c r="D46" s="401"/>
      <c r="E46" s="222">
        <v>35</v>
      </c>
      <c r="F46" s="206">
        <f>TotalSEIP6100</f>
        <v>0</v>
      </c>
      <c r="G46" s="206">
        <f>TotalSEIP6200</f>
        <v>0</v>
      </c>
      <c r="H46" s="206">
        <f>TotalSEIP630064006500</f>
        <v>0</v>
      </c>
      <c r="I46" s="206">
        <f>TotalSEIP6600</f>
        <v>0</v>
      </c>
      <c r="J46" s="206">
        <f>TotalSEIP6800</f>
        <v>0</v>
      </c>
      <c r="K46" s="206">
        <f>[1]!SP1000StruEngImmProj</f>
        <v>0</v>
      </c>
      <c r="L46" s="206">
        <f>TotalSEIP</f>
        <v>0</v>
      </c>
      <c r="M46" s="211" t="str">
        <f t="shared" si="3"/>
        <v xml:space="preserve"> </v>
      </c>
      <c r="N46" s="212">
        <v>35</v>
      </c>
    </row>
    <row r="47" spans="1:18" ht="12" customHeight="1">
      <c r="A47" s="401" t="s">
        <v>96</v>
      </c>
      <c r="B47" s="401"/>
      <c r="C47" s="401"/>
      <c r="D47" s="401"/>
      <c r="E47" s="222">
        <v>36</v>
      </c>
      <c r="F47" s="206">
        <f>TotalCIP6100</f>
        <v>0</v>
      </c>
      <c r="G47" s="206">
        <f>TotalCIP6200</f>
        <v>0</v>
      </c>
      <c r="H47" s="206">
        <f>TotalCIP630064006500</f>
        <v>0</v>
      </c>
      <c r="I47" s="206">
        <f>TotalCIP6600</f>
        <v>0</v>
      </c>
      <c r="J47" s="206">
        <f>TotalCIP6800</f>
        <v>0</v>
      </c>
      <c r="K47" s="213">
        <f>[1]!SP1000CompInstrProj</f>
        <v>0</v>
      </c>
      <c r="L47" s="206">
        <f>TotalCIP</f>
        <v>0</v>
      </c>
      <c r="M47" s="211" t="str">
        <f t="shared" si="3"/>
        <v xml:space="preserve"> </v>
      </c>
      <c r="N47" s="212">
        <v>36</v>
      </c>
    </row>
    <row r="48" spans="1:18" ht="12" customHeight="1">
      <c r="A48" s="223" t="s">
        <v>97</v>
      </c>
      <c r="B48" s="224"/>
      <c r="C48" s="224"/>
      <c r="D48" s="224"/>
      <c r="E48" s="222">
        <v>37</v>
      </c>
      <c r="F48" s="225"/>
      <c r="G48" s="225"/>
      <c r="H48" s="225"/>
      <c r="I48" s="225"/>
      <c r="J48" s="225"/>
      <c r="K48" s="213">
        <f>[1]!SP1000FedStProj</f>
        <v>1295000</v>
      </c>
      <c r="L48" s="206">
        <f>FederalandStateProjectsTotal</f>
        <v>1445000</v>
      </c>
      <c r="M48" s="211">
        <f t="shared" si="3"/>
        <v>0.11600000000000001</v>
      </c>
      <c r="N48" s="212">
        <v>37</v>
      </c>
    </row>
    <row r="49" spans="1:14" ht="12" customHeight="1">
      <c r="A49" s="226"/>
      <c r="B49" s="401" t="s">
        <v>98</v>
      </c>
      <c r="C49" s="401"/>
      <c r="D49" s="401"/>
      <c r="E49" s="222">
        <v>38</v>
      </c>
      <c r="F49" s="227">
        <f>SUM(F43+F44+F46+F47)</f>
        <v>9409000</v>
      </c>
      <c r="G49" s="227">
        <f>SUM(G43+G44+G46+G47)</f>
        <v>1653353</v>
      </c>
      <c r="H49" s="227">
        <f>SUM(H43+H44+H46+H47)</f>
        <v>3820000</v>
      </c>
      <c r="I49" s="227">
        <f>SUM(I43+I44+I46+I47)</f>
        <v>2451000</v>
      </c>
      <c r="J49" s="227">
        <f>SUM(J43+J46+J47)</f>
        <v>773516</v>
      </c>
      <c r="K49" s="228">
        <f>SUM(K43:K48)</f>
        <v>19034516</v>
      </c>
      <c r="L49" s="228">
        <f>SUM(L43:L48)</f>
        <v>19691869</v>
      </c>
      <c r="M49" s="211">
        <f>IF(K49=0," ",(L49-K49)/K49)</f>
        <v>3.5000000000000003E-2</v>
      </c>
      <c r="N49" s="212">
        <v>38</v>
      </c>
    </row>
  </sheetData>
  <mergeCells count="3">
    <mergeCell ref="D1:F1"/>
    <mergeCell ref="I1:J1"/>
    <mergeCell ref="M1:N1"/>
  </mergeCells>
  <hyperlinks>
    <hyperlink ref="G4" r:id="rId1" display="https://azauditor.sharepoint.com/sites/ASDonline/School%20District%20Budget/FY%202024%20Budget%20Forms/Prohibited%20formula%20characters/Files%20from%20ADE%203-27-23/EmpBenefits" xr:uid="{00000000-0004-0000-0200-000000000000}"/>
    <hyperlink ref="G5" r:id="rId2" display="Benefits" xr:uid="{00000000-0004-0000-0200-000001000000}"/>
    <hyperlink ref="A42:D42" location="Pg1Program550" display="550 K-3 Reading" xr:uid="{00000000-0004-0000-0200-000002000000}"/>
    <hyperlink ref="G4:G5" location="Pg1EmployeeBenefits" display="Employee" xr:uid="{00000000-0004-0000-0200-000003000000}"/>
    <hyperlink ref="A48:D48" location="Pg1Line37" display="Federal and State Projects (from page 2, line 30)" xr:uid="{00000000-0004-0000-0200-000004000000}"/>
    <hyperlink ref="D3" location="Pg1General" display="Instructions" xr:uid="{00000000-0004-0000-0200-000005000000}"/>
  </hyperlinks>
  <printOptions horizontalCentered="1" verticalCentered="1"/>
  <pageMargins left="0.75" right="0.5" top="0.25" bottom="0.25" header="0" footer="0"/>
  <pageSetup scale="74" orientation="landscape" r:id="rId3"/>
  <headerFooter>
    <oddFooter>&amp;L&amp;"Arial,Bold"Rev. 5/26 Arizona Department of Education and Auditor General&amp;R&amp;"Arial,Bold"Page  1 of 4</oddFooter>
  </headerFooter>
  <ignoredErrors>
    <ignoredError sqref="L41 F23:J23 L28:L36 L11:L20 L39 L2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S50"/>
  <sheetViews>
    <sheetView showGridLines="0" tabSelected="1" workbookViewId="0">
      <selection activeCell="N6" sqref="N6"/>
    </sheetView>
  </sheetViews>
  <sheetFormatPr defaultColWidth="9.28515625" defaultRowHeight="12.75" customHeight="1"/>
  <cols>
    <col min="1" max="1" width="3.5703125" customWidth="1"/>
    <col min="2" max="2" width="14.5703125" customWidth="1"/>
    <col min="3" max="3" width="35" customWidth="1"/>
    <col min="4" max="5" width="12.28515625" customWidth="1"/>
    <col min="6" max="6" width="3.5703125" customWidth="1"/>
    <col min="7" max="7" width="5.28515625" customWidth="1"/>
    <col min="8" max="8" width="27.28515625" customWidth="1"/>
    <col min="9" max="9" width="6.5703125" customWidth="1"/>
    <col min="10" max="10" width="6.28515625" customWidth="1"/>
    <col min="11" max="11" width="5.28515625" customWidth="1"/>
    <col min="12" max="12" width="7" customWidth="1"/>
    <col min="13" max="14" width="12.28515625" customWidth="1"/>
    <col min="15" max="15" width="3.5703125" customWidth="1"/>
    <col min="16" max="16" width="7.5703125" customWidth="1"/>
  </cols>
  <sheetData>
    <row r="1" spans="1:19" ht="13.5" customHeight="1">
      <c r="A1" t="s">
        <v>0</v>
      </c>
      <c r="C1" s="505" t="str">
        <f>CharterName</f>
        <v>Harvest Power Community Development Group</v>
      </c>
      <c r="D1" s="505"/>
      <c r="E1" s="505"/>
      <c r="F1" s="505"/>
      <c r="H1" s="405" t="s">
        <v>1</v>
      </c>
      <c r="I1" s="506" t="str">
        <f>Cover!M1</f>
        <v>Yuma</v>
      </c>
      <c r="J1" s="508"/>
      <c r="K1" s="508"/>
      <c r="M1" s="405" t="s">
        <v>2</v>
      </c>
      <c r="N1" s="395" t="str">
        <f>CTD</f>
        <v>148760000</v>
      </c>
      <c r="P1" s="515" t="s">
        <v>460</v>
      </c>
      <c r="Q1" s="515"/>
    </row>
    <row r="2" spans="1:19" ht="7.5" customHeight="1">
      <c r="A2" s="229"/>
      <c r="B2" s="128"/>
      <c r="C2" s="128"/>
      <c r="D2" s="128"/>
      <c r="E2" s="128"/>
      <c r="H2" s="230"/>
      <c r="I2" s="231"/>
      <c r="J2" s="231"/>
      <c r="K2" s="231"/>
      <c r="L2" s="231"/>
      <c r="M2" s="231"/>
      <c r="N2" s="231"/>
    </row>
    <row r="3" spans="1:19" ht="12" customHeight="1">
      <c r="A3" s="511" t="s">
        <v>99</v>
      </c>
      <c r="B3" s="512"/>
      <c r="C3" s="512"/>
      <c r="D3" s="232"/>
      <c r="E3" s="232"/>
      <c r="H3" s="232" t="s">
        <v>100</v>
      </c>
      <c r="I3" s="233"/>
      <c r="J3" s="233"/>
      <c r="K3" s="233"/>
      <c r="L3" s="233"/>
      <c r="M3" s="233"/>
      <c r="N3" s="233"/>
      <c r="Q3" s="507"/>
      <c r="R3" s="507"/>
    </row>
    <row r="4" spans="1:19" ht="40.5" customHeight="1">
      <c r="A4" s="94" t="s">
        <v>101</v>
      </c>
      <c r="D4" s="451" t="s">
        <v>472</v>
      </c>
      <c r="E4" s="451" t="s">
        <v>473</v>
      </c>
      <c r="H4" s="128"/>
      <c r="I4" s="128"/>
      <c r="J4" s="128"/>
      <c r="K4" s="128"/>
      <c r="M4" s="451" t="s">
        <v>476</v>
      </c>
      <c r="N4" s="451" t="s">
        <v>477</v>
      </c>
      <c r="Q4" s="507"/>
      <c r="R4" s="507"/>
    </row>
    <row r="5" spans="1:19" ht="12" customHeight="1">
      <c r="A5" s="234">
        <v>1</v>
      </c>
      <c r="B5" s="117" t="s">
        <v>102</v>
      </c>
      <c r="C5" s="117"/>
      <c r="D5" s="235">
        <f>[1]!FP11001130TitleI</f>
        <v>740000</v>
      </c>
      <c r="E5" s="19">
        <v>740000</v>
      </c>
      <c r="F5" s="210">
        <v>1</v>
      </c>
      <c r="G5" s="236">
        <v>1</v>
      </c>
      <c r="H5" s="237" t="s">
        <v>103</v>
      </c>
      <c r="I5" s="237"/>
      <c r="J5" s="238"/>
      <c r="K5" s="117"/>
      <c r="M5" s="239">
        <f>'[1]Page 2'!$N$5</f>
        <v>423000</v>
      </c>
      <c r="N5" s="20">
        <v>423000</v>
      </c>
      <c r="O5" s="210">
        <v>1</v>
      </c>
      <c r="R5" s="220"/>
      <c r="S5" s="220"/>
    </row>
    <row r="6" spans="1:19" ht="12" customHeight="1">
      <c r="A6" s="234">
        <v>2</v>
      </c>
      <c r="B6" s="117" t="s">
        <v>104</v>
      </c>
      <c r="C6" s="117"/>
      <c r="D6" s="235">
        <f>[1]!FP11401150TitleII</f>
        <v>70000</v>
      </c>
      <c r="E6" s="19">
        <v>70000</v>
      </c>
      <c r="F6" s="210">
        <v>2</v>
      </c>
      <c r="G6" s="236">
        <v>2</v>
      </c>
      <c r="H6" s="117" t="s">
        <v>105</v>
      </c>
      <c r="I6" s="117"/>
      <c r="J6" s="117"/>
      <c r="K6" s="117"/>
      <c r="M6" s="239">
        <f>[1]!P200GiftedEducation</f>
        <v>0</v>
      </c>
      <c r="N6" s="20"/>
      <c r="O6" s="210">
        <v>2</v>
      </c>
      <c r="R6" s="220"/>
      <c r="S6" s="220"/>
    </row>
    <row r="7" spans="1:19" ht="12" customHeight="1">
      <c r="A7" s="234">
        <v>3</v>
      </c>
      <c r="B7" s="117" t="s">
        <v>106</v>
      </c>
      <c r="C7" s="117"/>
      <c r="D7" s="235">
        <f>[1]!FP1160TitleIV</f>
        <v>47000</v>
      </c>
      <c r="E7" s="19">
        <v>47000</v>
      </c>
      <c r="F7" s="210">
        <v>3</v>
      </c>
      <c r="G7" s="236">
        <v>3</v>
      </c>
      <c r="H7" s="117" t="s">
        <v>107</v>
      </c>
      <c r="I7" s="117"/>
      <c r="J7" s="117"/>
      <c r="K7" s="117"/>
      <c r="M7" s="235">
        <f>[1]!P200ELLIncrementalCosts</f>
        <v>0</v>
      </c>
      <c r="N7" s="19"/>
      <c r="O7" s="210">
        <v>3</v>
      </c>
      <c r="R7" s="220"/>
      <c r="S7" s="220"/>
    </row>
    <row r="8" spans="1:19" ht="12" customHeight="1">
      <c r="A8" s="234">
        <v>4</v>
      </c>
      <c r="B8" s="117" t="s">
        <v>108</v>
      </c>
      <c r="C8" s="117"/>
      <c r="D8" s="235">
        <f>[1]!FP11701180TitleV</f>
        <v>0</v>
      </c>
      <c r="E8" s="19"/>
      <c r="F8" s="210">
        <v>4</v>
      </c>
      <c r="G8" s="236">
        <v>4</v>
      </c>
      <c r="H8" s="117" t="s">
        <v>109</v>
      </c>
      <c r="I8" s="117"/>
      <c r="J8" s="117"/>
      <c r="K8" s="117"/>
      <c r="M8" s="235">
        <f>[1]!P200ELLCompensatoryInstruction</f>
        <v>0</v>
      </c>
      <c r="N8" s="19"/>
      <c r="O8" s="210">
        <v>4</v>
      </c>
      <c r="R8" s="220"/>
      <c r="S8" s="220"/>
    </row>
    <row r="9" spans="1:19" ht="12" customHeight="1">
      <c r="A9" s="234">
        <v>5</v>
      </c>
      <c r="B9" s="117" t="s">
        <v>110</v>
      </c>
      <c r="C9" s="117"/>
      <c r="D9" s="235">
        <f>[1]!FP1190TitleIII</f>
        <v>110000</v>
      </c>
      <c r="E9" s="19">
        <v>110000</v>
      </c>
      <c r="F9" s="210">
        <v>5</v>
      </c>
      <c r="G9" s="236">
        <v>5</v>
      </c>
      <c r="H9" s="117" t="s">
        <v>111</v>
      </c>
      <c r="I9" s="117"/>
      <c r="J9" s="117"/>
      <c r="K9" s="117"/>
      <c r="M9" s="235">
        <f>[1]!P200RemedialEducation</f>
        <v>0</v>
      </c>
      <c r="N9" s="19"/>
      <c r="O9" s="210">
        <v>5</v>
      </c>
      <c r="R9" s="220"/>
      <c r="S9" s="220"/>
    </row>
    <row r="10" spans="1:19" ht="12" customHeight="1">
      <c r="A10" s="234">
        <v>6</v>
      </c>
      <c r="B10" s="117" t="s">
        <v>112</v>
      </c>
      <c r="C10" s="117"/>
      <c r="D10" s="235">
        <f>[1]!FP1200TitleVII</f>
        <v>0</v>
      </c>
      <c r="E10" s="19"/>
      <c r="F10" s="210">
        <v>6</v>
      </c>
      <c r="G10" s="236">
        <v>6</v>
      </c>
      <c r="H10" s="117" t="s">
        <v>113</v>
      </c>
      <c r="I10" s="117"/>
      <c r="J10" s="117"/>
      <c r="K10" s="117"/>
      <c r="M10" s="235">
        <f>[1]!P200VocationalandTechnologicalEd</f>
        <v>0</v>
      </c>
      <c r="N10" s="19"/>
      <c r="O10" s="210">
        <v>6</v>
      </c>
      <c r="R10" s="220"/>
      <c r="S10" s="220"/>
    </row>
    <row r="11" spans="1:19" ht="12" customHeight="1">
      <c r="A11" s="234">
        <v>7</v>
      </c>
      <c r="B11" s="117" t="s">
        <v>114</v>
      </c>
      <c r="C11" s="117"/>
      <c r="D11" s="235">
        <f>[1]!FP1210TitleVI</f>
        <v>0</v>
      </c>
      <c r="E11" s="19"/>
      <c r="F11" s="210">
        <v>7</v>
      </c>
      <c r="G11" s="236">
        <v>7</v>
      </c>
      <c r="H11" s="117" t="s">
        <v>115</v>
      </c>
      <c r="I11" s="117"/>
      <c r="J11" s="117"/>
      <c r="K11" s="117"/>
      <c r="M11" s="235">
        <f>[1]!P200CareerEducation</f>
        <v>0</v>
      </c>
      <c r="N11" s="19"/>
      <c r="O11" s="210">
        <v>7</v>
      </c>
      <c r="R11" s="220"/>
      <c r="S11" s="220"/>
    </row>
    <row r="12" spans="1:19" ht="12" customHeight="1">
      <c r="A12" s="234">
        <v>8</v>
      </c>
      <c r="B12" s="117" t="s">
        <v>116</v>
      </c>
      <c r="C12" s="117"/>
      <c r="D12" s="235">
        <f>[1]!FP1220IDEA</f>
        <v>278000</v>
      </c>
      <c r="E12" s="19">
        <v>278000</v>
      </c>
      <c r="F12" s="210">
        <v>8</v>
      </c>
      <c r="G12" s="236">
        <v>8</v>
      </c>
      <c r="H12" t="s">
        <v>117</v>
      </c>
      <c r="K12" s="117"/>
      <c r="M12" s="239">
        <f>SUM(M5:M11)</f>
        <v>423000</v>
      </c>
      <c r="N12" s="239">
        <f>SUM(N5:N11)</f>
        <v>423000</v>
      </c>
      <c r="O12" s="210">
        <v>8</v>
      </c>
      <c r="P12" s="136" t="str">
        <f>IF(SUM(N5:N11)=SUM('Page 1'!L37),"","Invalid. The amount must equal the total budgeted amount reported on page 1, line 27.")</f>
        <v/>
      </c>
      <c r="R12" s="220"/>
      <c r="S12" s="220"/>
    </row>
    <row r="13" spans="1:19" ht="12" customHeight="1">
      <c r="A13" s="234">
        <v>9</v>
      </c>
      <c r="B13" s="117" t="s">
        <v>118</v>
      </c>
      <c r="C13" s="117"/>
      <c r="D13" s="235">
        <f>[1]!FP1230Johnson</f>
        <v>0</v>
      </c>
      <c r="E13" s="19"/>
      <c r="F13" s="210">
        <v>9</v>
      </c>
      <c r="N13" s="220"/>
      <c r="O13" s="210"/>
      <c r="R13" s="220"/>
      <c r="S13" s="220"/>
    </row>
    <row r="14" spans="1:19" ht="12.75" customHeight="1">
      <c r="A14" s="234">
        <v>10</v>
      </c>
      <c r="B14" s="117" t="s">
        <v>119</v>
      </c>
      <c r="C14" s="117"/>
      <c r="D14" s="235">
        <f>[1]!FP1240WIA</f>
        <v>0</v>
      </c>
      <c r="E14" s="19"/>
      <c r="F14" s="210">
        <v>10</v>
      </c>
      <c r="G14" s="236">
        <v>9</v>
      </c>
      <c r="H14" s="514" t="s">
        <v>120</v>
      </c>
      <c r="I14" s="514"/>
      <c r="J14" s="514"/>
      <c r="K14" s="514"/>
      <c r="L14" s="514"/>
      <c r="M14" s="239">
        <f t="array" ref="M14">[1]!IEPtransportation</f>
        <v>0</v>
      </c>
      <c r="N14" s="20"/>
      <c r="O14" s="210">
        <v>9</v>
      </c>
      <c r="R14" s="220"/>
      <c r="S14" s="220"/>
    </row>
    <row r="15" spans="1:19" ht="12.75" customHeight="1">
      <c r="A15" s="234">
        <v>11</v>
      </c>
      <c r="B15" s="117" t="s">
        <v>121</v>
      </c>
      <c r="C15" s="117"/>
      <c r="D15" s="235">
        <f>[1]!FP1250AEA</f>
        <v>0</v>
      </c>
      <c r="E15" s="19"/>
      <c r="F15" s="210">
        <v>11</v>
      </c>
      <c r="H15" s="514"/>
      <c r="I15" s="514"/>
      <c r="J15" s="514"/>
      <c r="K15" s="514"/>
      <c r="L15" s="514"/>
      <c r="N15" s="220"/>
      <c r="O15" s="210"/>
      <c r="R15" s="220"/>
      <c r="S15" s="220"/>
    </row>
    <row r="16" spans="1:19" ht="12" customHeight="1">
      <c r="A16" s="234">
        <v>12</v>
      </c>
      <c r="B16" s="117" t="s">
        <v>122</v>
      </c>
      <c r="C16" s="117"/>
      <c r="D16" s="235">
        <f>[1]!FP12601270VocEd</f>
        <v>0</v>
      </c>
      <c r="E16" s="19"/>
      <c r="F16" s="210">
        <v>12</v>
      </c>
      <c r="G16" s="236"/>
      <c r="H16" s="117"/>
      <c r="I16" s="117"/>
      <c r="J16" s="117"/>
      <c r="K16" s="117"/>
      <c r="M16" s="240"/>
      <c r="N16" s="240"/>
      <c r="O16" s="210"/>
      <c r="R16" s="220"/>
      <c r="S16" s="220"/>
    </row>
    <row r="17" spans="1:19" ht="12" customHeight="1">
      <c r="A17" s="234">
        <v>13</v>
      </c>
      <c r="B17" s="117" t="s">
        <v>123</v>
      </c>
      <c r="C17" s="117"/>
      <c r="D17" s="235">
        <f>[1]!FP1280TitleX</f>
        <v>0</v>
      </c>
      <c r="E17" s="19"/>
      <c r="F17" s="210">
        <v>13</v>
      </c>
      <c r="G17" s="236"/>
      <c r="H17" s="232" t="s">
        <v>124</v>
      </c>
      <c r="I17" s="233"/>
      <c r="J17" s="233"/>
      <c r="K17" s="233"/>
      <c r="L17" s="233"/>
      <c r="M17" s="240"/>
      <c r="N17" s="240"/>
      <c r="O17" s="210"/>
      <c r="R17" s="220"/>
      <c r="S17" s="220"/>
    </row>
    <row r="18" spans="1:19" ht="12" customHeight="1">
      <c r="A18" s="234">
        <v>14</v>
      </c>
      <c r="B18" s="117" t="s">
        <v>125</v>
      </c>
      <c r="C18" s="117"/>
      <c r="D18" s="235">
        <f>[1]!FP1290Medicaid</f>
        <v>0</v>
      </c>
      <c r="E18" s="19"/>
      <c r="F18" s="210">
        <v>14</v>
      </c>
      <c r="G18" s="236"/>
      <c r="H18" s="391" t="s">
        <v>126</v>
      </c>
      <c r="M18" s="241"/>
      <c r="N18" s="241"/>
      <c r="R18" s="220"/>
      <c r="S18" s="220"/>
    </row>
    <row r="19" spans="1:19" ht="12" customHeight="1">
      <c r="A19" s="234">
        <v>15</v>
      </c>
      <c r="B19" s="117" t="s">
        <v>127</v>
      </c>
      <c r="C19" s="117"/>
      <c r="D19" s="239">
        <f>[1]!FP1300Charter</f>
        <v>0</v>
      </c>
      <c r="E19" s="20"/>
      <c r="F19" s="210">
        <v>15</v>
      </c>
      <c r="G19" s="236"/>
      <c r="H19" s="117"/>
      <c r="I19" s="117"/>
      <c r="J19" s="117"/>
      <c r="K19" s="117"/>
      <c r="M19" s="513" t="s">
        <v>478</v>
      </c>
      <c r="N19" s="513" t="s">
        <v>473</v>
      </c>
      <c r="R19" s="220"/>
      <c r="S19" s="220"/>
    </row>
    <row r="20" spans="1:19" ht="12" customHeight="1">
      <c r="A20" s="234">
        <v>16</v>
      </c>
      <c r="B20" s="117" t="s">
        <v>128</v>
      </c>
      <c r="C20" s="117"/>
      <c r="D20" s="242">
        <f>[1]!FP13__ImpactAid</f>
        <v>0</v>
      </c>
      <c r="E20" s="24"/>
      <c r="F20" s="210">
        <v>16</v>
      </c>
      <c r="G20" s="236"/>
      <c r="H20" s="117"/>
      <c r="I20" s="117"/>
      <c r="J20" s="117"/>
      <c r="K20" s="117"/>
      <c r="M20" s="513"/>
      <c r="N20" s="513"/>
      <c r="R20" s="220"/>
      <c r="S20" s="220"/>
    </row>
    <row r="21" spans="1:19" ht="12" customHeight="1" thickBot="1">
      <c r="A21" s="234">
        <v>17</v>
      </c>
      <c r="B21" s="243" t="s">
        <v>129</v>
      </c>
      <c r="C21" s="237"/>
      <c r="D21" s="244">
        <f>[1]!FP13101399Other</f>
        <v>50000</v>
      </c>
      <c r="E21" s="21">
        <v>200000</v>
      </c>
      <c r="F21" s="210">
        <v>17</v>
      </c>
      <c r="G21" s="234" t="s">
        <v>5</v>
      </c>
      <c r="H21" s="391" t="s">
        <v>130</v>
      </c>
      <c r="I21" s="391"/>
      <c r="J21" s="117"/>
      <c r="K21" s="117"/>
      <c r="M21" s="239">
        <f>[1]!IIPTeacherCompensationIncreases</f>
        <v>0</v>
      </c>
      <c r="N21" s="20"/>
      <c r="O21" s="234" t="s">
        <v>5</v>
      </c>
      <c r="R21" s="220"/>
      <c r="S21" s="220"/>
    </row>
    <row r="22" spans="1:19" ht="12" customHeight="1" thickBot="1">
      <c r="A22" s="234">
        <v>18</v>
      </c>
      <c r="B22" s="117" t="s">
        <v>131</v>
      </c>
      <c r="C22" s="117"/>
      <c r="D22" s="245">
        <f>SUM(D5:D21)</f>
        <v>1295000</v>
      </c>
      <c r="E22" s="245">
        <f>SUM(E5:E21)</f>
        <v>1445000</v>
      </c>
      <c r="F22" s="210">
        <v>18</v>
      </c>
      <c r="G22" s="234" t="s">
        <v>8</v>
      </c>
      <c r="H22" s="117" t="s">
        <v>132</v>
      </c>
      <c r="I22" s="117"/>
      <c r="J22" s="246"/>
      <c r="M22" s="239">
        <f>[1]!IIPClassSizeReduction</f>
        <v>0</v>
      </c>
      <c r="N22" s="20"/>
      <c r="O22" s="234" t="s">
        <v>8</v>
      </c>
      <c r="R22" s="220"/>
      <c r="S22" s="220"/>
    </row>
    <row r="23" spans="1:19" ht="12.75" customHeight="1" thickTop="1">
      <c r="A23" s="247" t="s">
        <v>133</v>
      </c>
      <c r="B23" s="117"/>
      <c r="C23" s="117"/>
      <c r="D23" s="198"/>
      <c r="E23" s="248"/>
      <c r="F23" s="210"/>
      <c r="G23" s="234" t="s">
        <v>134</v>
      </c>
      <c r="H23" s="237" t="s">
        <v>135</v>
      </c>
      <c r="I23" s="237"/>
      <c r="J23" s="238"/>
      <c r="K23" s="249"/>
      <c r="M23" s="239">
        <f>[1]!IIPDropoutPreventionPrograms</f>
        <v>0</v>
      </c>
      <c r="N23" s="20"/>
      <c r="O23" s="234" t="s">
        <v>134</v>
      </c>
      <c r="R23" s="220"/>
      <c r="S23" s="220"/>
    </row>
    <row r="24" spans="1:19" ht="12" customHeight="1">
      <c r="A24" s="234">
        <v>19</v>
      </c>
      <c r="B24" s="117" t="s">
        <v>136</v>
      </c>
      <c r="C24" s="117"/>
      <c r="D24" s="206">
        <f>[1]!SP1400VocEd</f>
        <v>0</v>
      </c>
      <c r="E24" s="7"/>
      <c r="F24" s="210">
        <v>19</v>
      </c>
      <c r="G24" s="234" t="s">
        <v>137</v>
      </c>
      <c r="H24" s="237" t="s">
        <v>138</v>
      </c>
      <c r="I24" s="237"/>
      <c r="J24" s="238"/>
      <c r="K24" s="249"/>
      <c r="M24" s="239">
        <f>[1]!IIPInstructionalImprovementPrograms</f>
        <v>120000</v>
      </c>
      <c r="N24" s="20">
        <v>140000</v>
      </c>
      <c r="O24" s="234" t="s">
        <v>137</v>
      </c>
      <c r="R24" s="220"/>
      <c r="S24" s="220"/>
    </row>
    <row r="25" spans="1:19" ht="12" customHeight="1" thickBot="1">
      <c r="A25" s="234">
        <v>20</v>
      </c>
      <c r="B25" s="117" t="s">
        <v>139</v>
      </c>
      <c r="C25" s="117"/>
      <c r="D25" s="235">
        <f>[1]!SP1410EarlyChildhoodBlockGrant</f>
        <v>0</v>
      </c>
      <c r="E25" s="19"/>
      <c r="F25" s="210">
        <v>20</v>
      </c>
      <c r="G25" s="234" t="s">
        <v>140</v>
      </c>
      <c r="H25" s="391" t="s">
        <v>141</v>
      </c>
      <c r="I25" s="391"/>
      <c r="J25" s="117"/>
      <c r="K25" s="117"/>
      <c r="M25" s="245">
        <f>SUM(M21:M24)</f>
        <v>120000</v>
      </c>
      <c r="N25" s="245">
        <f>SUM(N21:N24)</f>
        <v>140000</v>
      </c>
      <c r="O25" s="234" t="s">
        <v>140</v>
      </c>
      <c r="R25" s="220"/>
      <c r="S25" s="220"/>
    </row>
    <row r="26" spans="1:19" ht="12" customHeight="1" thickTop="1">
      <c r="A26" s="234">
        <v>21</v>
      </c>
      <c r="B26" s="117" t="s">
        <v>142</v>
      </c>
      <c r="C26" s="117"/>
      <c r="D26" s="235">
        <f>[1]!FP1420ExtendedSchool</f>
        <v>0</v>
      </c>
      <c r="E26" s="19"/>
      <c r="F26" s="210">
        <v>21</v>
      </c>
      <c r="K26" s="246"/>
      <c r="R26" s="220"/>
      <c r="S26" s="220"/>
    </row>
    <row r="27" spans="1:19" ht="12" customHeight="1">
      <c r="A27" s="234">
        <v>22</v>
      </c>
      <c r="B27" s="117" t="s">
        <v>143</v>
      </c>
      <c r="C27" s="117"/>
      <c r="D27" s="235">
        <f>[1]!SP1425AdultBasicEd</f>
        <v>0</v>
      </c>
      <c r="E27" s="19"/>
      <c r="F27" s="210">
        <v>22</v>
      </c>
      <c r="H27" s="229" t="s">
        <v>144</v>
      </c>
      <c r="I27" s="128"/>
      <c r="J27" s="128"/>
      <c r="L27" s="232" t="s">
        <v>145</v>
      </c>
      <c r="M27" s="250"/>
      <c r="N27" s="250"/>
      <c r="O27" s="210"/>
      <c r="R27" s="220"/>
      <c r="S27" s="220"/>
    </row>
    <row r="28" spans="1:19" ht="12" customHeight="1">
      <c r="A28" s="234">
        <v>23</v>
      </c>
      <c r="B28" s="117" t="s">
        <v>146</v>
      </c>
      <c r="C28" s="117"/>
      <c r="D28" s="235">
        <f>[1]!SP1430ChemicalAbuse</f>
        <v>0</v>
      </c>
      <c r="E28" s="19"/>
      <c r="F28" s="210">
        <v>23</v>
      </c>
      <c r="H28" s="229" t="s">
        <v>147</v>
      </c>
      <c r="I28" s="128"/>
      <c r="J28" s="128"/>
      <c r="L28" s="128" t="s">
        <v>148</v>
      </c>
      <c r="M28" s="128"/>
      <c r="N28" s="128"/>
    </row>
    <row r="29" spans="1:19" ht="12" customHeight="1">
      <c r="A29" s="234">
        <v>24</v>
      </c>
      <c r="B29" s="117" t="s">
        <v>149</v>
      </c>
      <c r="C29" s="117"/>
      <c r="D29" s="235">
        <f>[1]!SP1435AcademicContests</f>
        <v>0</v>
      </c>
      <c r="E29" s="19"/>
      <c r="F29" s="210">
        <v>24</v>
      </c>
      <c r="H29" t="s">
        <v>150</v>
      </c>
      <c r="I29" s="405" t="s">
        <v>151</v>
      </c>
      <c r="J29" s="14">
        <v>25</v>
      </c>
      <c r="L29" s="3" t="s">
        <v>152</v>
      </c>
      <c r="N29" s="8">
        <v>40000</v>
      </c>
    </row>
    <row r="30" spans="1:19" ht="12" customHeight="1">
      <c r="A30" s="234">
        <v>25</v>
      </c>
      <c r="B30" s="117" t="s">
        <v>153</v>
      </c>
      <c r="C30" s="117"/>
      <c r="D30" s="235">
        <f>[1]!SP1450GiftedEd</f>
        <v>0</v>
      </c>
      <c r="E30" s="19"/>
      <c r="F30" s="210">
        <v>25</v>
      </c>
      <c r="G30" s="389"/>
      <c r="H30" t="s">
        <v>154</v>
      </c>
      <c r="I30" s="405" t="s">
        <v>151</v>
      </c>
      <c r="J30" s="25">
        <v>25</v>
      </c>
      <c r="K30" s="117"/>
      <c r="L30" s="3" t="s">
        <v>155</v>
      </c>
      <c r="N30" s="8"/>
      <c r="O30" s="94"/>
    </row>
    <row r="31" spans="1:19" ht="12" customHeight="1">
      <c r="A31" s="234">
        <v>26</v>
      </c>
      <c r="B31" s="237" t="s">
        <v>156</v>
      </c>
      <c r="C31" s="237"/>
      <c r="D31" s="235">
        <f>'[1]Page 2'!$E$31</f>
        <v>0</v>
      </c>
      <c r="E31" s="19"/>
      <c r="F31" s="210">
        <v>26</v>
      </c>
      <c r="I31" s="405"/>
      <c r="J31" s="251"/>
      <c r="L31" s="3"/>
      <c r="N31" s="220"/>
      <c r="O31" s="94"/>
    </row>
    <row r="32" spans="1:19" ht="12" customHeight="1">
      <c r="A32" s="234">
        <v>27</v>
      </c>
      <c r="B32" s="117" t="s">
        <v>157</v>
      </c>
      <c r="C32" s="117"/>
      <c r="D32" s="235">
        <f>[1]!SP1460EnvironmentalSpecialPlate</f>
        <v>0</v>
      </c>
      <c r="E32" s="19"/>
      <c r="F32" s="210">
        <v>27</v>
      </c>
      <c r="H32" s="252" t="s">
        <v>158</v>
      </c>
      <c r="I32" s="253"/>
      <c r="J32" s="254"/>
      <c r="K32" s="255"/>
      <c r="L32" s="255"/>
      <c r="M32" s="255"/>
      <c r="O32" s="94"/>
    </row>
    <row r="33" spans="1:15" ht="12" customHeight="1">
      <c r="A33" s="234">
        <v>28</v>
      </c>
      <c r="B33" s="117" t="s">
        <v>159</v>
      </c>
      <c r="C33" s="117"/>
      <c r="D33" s="235">
        <f>[1]!SP1465CharterSchool</f>
        <v>0</v>
      </c>
      <c r="E33" s="19"/>
      <c r="F33" s="210">
        <v>28</v>
      </c>
      <c r="H33" s="252" t="s">
        <v>160</v>
      </c>
      <c r="I33" s="253"/>
      <c r="J33" s="254"/>
      <c r="K33" s="255"/>
      <c r="L33" s="255"/>
      <c r="M33" s="255"/>
    </row>
    <row r="34" spans="1:15" ht="12" customHeight="1">
      <c r="A34" s="234">
        <v>29</v>
      </c>
      <c r="B34" s="243" t="s">
        <v>161</v>
      </c>
      <c r="C34" s="256"/>
      <c r="D34" s="235">
        <f>'[1]Page 2'!$E$34</f>
        <v>0</v>
      </c>
      <c r="E34" s="19"/>
      <c r="F34" s="210">
        <v>29</v>
      </c>
      <c r="H34" s="117" t="s">
        <v>162</v>
      </c>
      <c r="K34" s="128"/>
      <c r="M34" s="257"/>
    </row>
    <row r="35" spans="1:15" ht="12" customHeight="1" thickBot="1">
      <c r="A35" s="234">
        <v>30</v>
      </c>
      <c r="B35" s="243" t="s">
        <v>163</v>
      </c>
      <c r="C35" s="243"/>
      <c r="D35" s="235">
        <f>[1]!SP14701499Other</f>
        <v>0</v>
      </c>
      <c r="E35" s="19"/>
      <c r="F35" s="210">
        <v>30</v>
      </c>
      <c r="H35" s="117" t="s">
        <v>164</v>
      </c>
      <c r="M35" s="257"/>
      <c r="N35" s="8">
        <v>55000</v>
      </c>
    </row>
    <row r="36" spans="1:15" ht="12" customHeight="1" thickBot="1">
      <c r="A36" s="234">
        <v>31</v>
      </c>
      <c r="B36" s="117" t="s">
        <v>165</v>
      </c>
      <c r="C36" s="117"/>
      <c r="D36" s="258">
        <f>SUM(D24:D35)</f>
        <v>0</v>
      </c>
      <c r="E36" s="258">
        <f>SUM(E24:E35)</f>
        <v>0</v>
      </c>
      <c r="F36" s="210">
        <v>31</v>
      </c>
      <c r="H36" s="117"/>
      <c r="K36" s="128"/>
      <c r="O36" s="234"/>
    </row>
    <row r="37" spans="1:15" ht="12" customHeight="1" thickTop="1" thickBot="1">
      <c r="A37" s="234">
        <v>32</v>
      </c>
      <c r="B37" s="117" t="s">
        <v>166</v>
      </c>
      <c r="C37" s="117"/>
      <c r="D37" s="245">
        <f>D22+D36</f>
        <v>1295000</v>
      </c>
      <c r="E37" s="245">
        <f>E22+E36</f>
        <v>1445000</v>
      </c>
      <c r="F37" s="210">
        <v>32</v>
      </c>
      <c r="G37" s="191"/>
      <c r="H37" s="259" t="s">
        <v>167</v>
      </c>
      <c r="N37" s="625"/>
      <c r="O37" s="234"/>
    </row>
    <row r="38" spans="1:15" ht="12" customHeight="1" thickTop="1">
      <c r="A38" s="389"/>
      <c r="F38" s="210"/>
      <c r="G38" s="260"/>
      <c r="H38" s="117" t="s">
        <v>168</v>
      </c>
      <c r="I38" s="229"/>
      <c r="J38" s="261"/>
      <c r="K38" s="229"/>
      <c r="L38" s="261"/>
      <c r="M38" s="229"/>
      <c r="N38" s="8">
        <v>418320</v>
      </c>
      <c r="O38" s="234"/>
    </row>
    <row r="39" spans="1:15" ht="24" customHeight="1">
      <c r="B39" s="262" t="s">
        <v>169</v>
      </c>
      <c r="C39" s="232"/>
      <c r="D39" s="451" t="s">
        <v>474</v>
      </c>
      <c r="E39" s="451" t="s">
        <v>475</v>
      </c>
      <c r="F39" s="210"/>
      <c r="G39" s="260"/>
      <c r="H39" s="117" t="s">
        <v>170</v>
      </c>
      <c r="I39" s="117"/>
      <c r="J39" s="117"/>
      <c r="K39" s="117"/>
      <c r="L39" s="117"/>
      <c r="M39" s="117"/>
      <c r="N39" s="8">
        <v>270196</v>
      </c>
      <c r="O39" s="234"/>
    </row>
    <row r="40" spans="1:15">
      <c r="A40" s="236">
        <v>1</v>
      </c>
      <c r="B40" t="s">
        <v>171</v>
      </c>
      <c r="D40" s="235">
        <f t="array" ref="D40">[1]!CA0181IntangibleAssets</f>
        <v>0</v>
      </c>
      <c r="E40" s="8"/>
      <c r="F40" s="210">
        <v>1</v>
      </c>
      <c r="G40" s="234"/>
      <c r="H40" s="246"/>
      <c r="I40" s="246"/>
      <c r="J40" s="246"/>
      <c r="K40" s="246"/>
      <c r="L40" s="246"/>
      <c r="M40" s="246"/>
      <c r="N40" s="220"/>
      <c r="O40" s="234"/>
    </row>
    <row r="41" spans="1:15" ht="12" customHeight="1">
      <c r="A41" s="236">
        <v>2</v>
      </c>
      <c r="B41" s="117" t="s">
        <v>172</v>
      </c>
      <c r="D41" s="206">
        <f>[1]!CA0191Land</f>
        <v>0</v>
      </c>
      <c r="E41" s="8"/>
      <c r="F41" s="210">
        <v>2</v>
      </c>
      <c r="G41" s="234"/>
    </row>
    <row r="42" spans="1:15" ht="12" customHeight="1">
      <c r="A42" s="236">
        <v>3</v>
      </c>
      <c r="B42" s="117" t="s">
        <v>173</v>
      </c>
      <c r="D42" s="206">
        <f>[1]!CA0192SiteImprovements</f>
        <v>0</v>
      </c>
      <c r="E42" s="7"/>
      <c r="F42" s="210">
        <v>3</v>
      </c>
      <c r="G42" s="260"/>
    </row>
    <row r="43" spans="1:15" ht="12" customHeight="1">
      <c r="A43" s="236">
        <v>4</v>
      </c>
      <c r="B43" s="117" t="s">
        <v>174</v>
      </c>
      <c r="D43" s="206">
        <f>[1]!CA0194Buildings</f>
        <v>300000</v>
      </c>
      <c r="E43" s="7">
        <v>350000</v>
      </c>
      <c r="F43" s="210">
        <v>4</v>
      </c>
      <c r="G43" s="234"/>
    </row>
    <row r="44" spans="1:15" ht="12" customHeight="1">
      <c r="A44" s="236">
        <v>5</v>
      </c>
      <c r="B44" s="117" t="s">
        <v>175</v>
      </c>
      <c r="D44" s="206">
        <f>[1]!CA0196Equipment</f>
        <v>400000</v>
      </c>
      <c r="E44" s="7">
        <v>400000</v>
      </c>
      <c r="F44" s="210">
        <v>5</v>
      </c>
      <c r="G44" s="234"/>
    </row>
    <row r="45" spans="1:15" ht="12" customHeight="1" thickBot="1">
      <c r="A45" s="389">
        <v>6</v>
      </c>
      <c r="B45" s="117" t="s">
        <v>176</v>
      </c>
      <c r="D45" s="264">
        <f>[1]!CA0198CIP</f>
        <v>0</v>
      </c>
      <c r="E45" s="15"/>
      <c r="F45" s="210">
        <v>6</v>
      </c>
      <c r="G45" s="234"/>
    </row>
    <row r="46" spans="1:15" ht="12" customHeight="1" thickBot="1">
      <c r="A46" s="265">
        <v>7</v>
      </c>
      <c r="B46" s="117" t="s">
        <v>177</v>
      </c>
      <c r="D46" s="245">
        <f>SUM(D40:D45)</f>
        <v>700000</v>
      </c>
      <c r="E46" s="245">
        <f>SUM(E40:E45)</f>
        <v>750000</v>
      </c>
      <c r="F46" s="210">
        <v>7</v>
      </c>
      <c r="G46" s="263"/>
    </row>
    <row r="47" spans="1:15" ht="13.5" customHeight="1" thickTop="1">
      <c r="G47" s="263"/>
      <c r="N47" s="240"/>
    </row>
    <row r="48" spans="1:15" ht="13.5" customHeight="1">
      <c r="A48" s="265">
        <v>8</v>
      </c>
      <c r="B48" s="509" t="s">
        <v>178</v>
      </c>
      <c r="C48" s="510"/>
      <c r="D48" s="213">
        <f>[1]!CAK3Reading</f>
        <v>700000</v>
      </c>
      <c r="E48" s="8">
        <v>750000</v>
      </c>
      <c r="F48" s="210">
        <v>8</v>
      </c>
    </row>
    <row r="49" spans="9:9" ht="27" customHeight="1"/>
    <row r="50" spans="9:9" ht="12.75" customHeight="1">
      <c r="I50" s="3"/>
    </row>
  </sheetData>
  <mergeCells count="10">
    <mergeCell ref="Q3:Q4"/>
    <mergeCell ref="R3:R4"/>
    <mergeCell ref="C1:F1"/>
    <mergeCell ref="I1:K1"/>
    <mergeCell ref="B48:C48"/>
    <mergeCell ref="A3:C3"/>
    <mergeCell ref="M19:M20"/>
    <mergeCell ref="N19:N20"/>
    <mergeCell ref="H14:L15"/>
    <mergeCell ref="P1:Q1"/>
  </mergeCells>
  <conditionalFormatting sqref="N12">
    <cfRule type="cellIs" dxfId="6" priority="1" stopIfTrue="1" operator="equal">
      <formula>"Invalid"</formula>
    </cfRule>
  </conditionalFormatting>
  <hyperlinks>
    <hyperlink ref="H3:N3" location="Pg2SpecialEd" display="SPECIAL EDUCATION PROGRAMS BY TYPE" xr:uid="{00000000-0004-0000-0300-000000000000}"/>
    <hyperlink ref="B39:C39" location="CapitalAcquisitions" display="CAPITAL ACQUISITIONS" xr:uid="{00000000-0004-0000-0300-000001000000}"/>
    <hyperlink ref="A3:E3" location="TotalFederalAndStateProjects" display="FEDERAL AND STATE PROJECTS" xr:uid="{00000000-0004-0000-0300-000002000000}"/>
    <hyperlink ref="H17:K17" r:id="rId1" display="INSTRUCTIONAL IMPROVEMENT PROJECT" xr:uid="{00000000-0004-0000-0300-000003000000}"/>
    <hyperlink ref="H17:L17" location="Pg2InstructionalImprovementProj" display="INSTRUCTIONAL IMPROVEMENT PROJECT" xr:uid="{00000000-0004-0000-0300-000004000000}"/>
    <hyperlink ref="H23:K23" location="Pg2Lines3and4" display="Dropout Prevention Programs" xr:uid="{00000000-0004-0000-0300-000005000000}"/>
    <hyperlink ref="H24:K24" location="Pg2Lines3and4" display="Instructional Improvement Programs" xr:uid="{00000000-0004-0000-0300-000006000000}"/>
    <hyperlink ref="H5:J5" location="Pg2Line1" display="Total All Categories" xr:uid="{00000000-0004-0000-0300-000007000000}"/>
    <hyperlink ref="H32:M33" location="Pg2StateEqualAssist" display="STATE EQUALIZATION ASSISTANCE BUDGETED" xr:uid="{00000000-0004-0000-0300-000008000000}"/>
    <hyperlink ref="B31:C31" location="CollegeCreditExamIncentives" display="1456 College Credit Exam Incentives" xr:uid="{00000000-0004-0000-0300-000009000000}"/>
    <hyperlink ref="B34:C34" location="ArizonaIndustryCredentialsIncentives" display="14__  Arizona Industry Credentials Incentives" xr:uid="{00000000-0004-0000-0300-00000A000000}"/>
    <hyperlink ref="B21:C21" location="TotalFederalAndStateProjects" display="1310-1399  Other Federal Projects" xr:uid="{00000000-0004-0000-0300-00000B000000}"/>
    <hyperlink ref="H37" location="Pg2DebtService" display="Debt service" xr:uid="{00000000-0004-0000-0300-00000C000000}"/>
    <hyperlink ref="H14:J15" location="Pg2Line9" display="Expenses budgeted for transporting students with disabilities (as defined in A.R.S. §15-761) unique to the IEP" xr:uid="{00000000-0004-0000-0300-00000D000000}"/>
    <hyperlink ref="L27:N27" location="Pg2ExpensesByType" display="Selected expenses by type" xr:uid="{00000000-0004-0000-0300-00000E000000}"/>
    <hyperlink ref="B35" location="OtherStateProjects" display="Other State Projects" xr:uid="{00000000-0004-0000-0300-00000F000000}"/>
    <hyperlink ref="P1" location="TotalFederalAndStateProjects" display="Instructions" xr:uid="{00000000-0004-0000-0300-000010000000}"/>
  </hyperlinks>
  <printOptions horizontalCentered="1" verticalCentered="1"/>
  <pageMargins left="0.75" right="0.5" top="0.25" bottom="0.25" header="0" footer="0"/>
  <pageSetup scale="74" orientation="landscape" r:id="rId2"/>
  <headerFooter>
    <oddFooter>&amp;L&amp;"Arial,Bold"Rev. 5/26 Arizona Department of Education and Auditor General&amp;R&amp;"Arial,Bold"Page 2 of 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N19"/>
  <sheetViews>
    <sheetView showGridLines="0" workbookViewId="0">
      <selection activeCell="G9" sqref="G9"/>
    </sheetView>
  </sheetViews>
  <sheetFormatPr defaultColWidth="9" defaultRowHeight="12.75" customHeight="1"/>
  <cols>
    <col min="1" max="2" width="1.5703125" customWidth="1"/>
    <col min="3" max="3" width="14.5703125" customWidth="1"/>
    <col min="4" max="4" width="52.28515625" customWidth="1"/>
    <col min="5" max="5" width="3.5703125" customWidth="1"/>
    <col min="6" max="12" width="15.28515625" customWidth="1"/>
    <col min="13" max="13" width="3.5703125" customWidth="1"/>
    <col min="14" max="15" width="13.5703125" customWidth="1"/>
    <col min="16" max="16" width="4" customWidth="1"/>
    <col min="17" max="17" width="9" customWidth="1"/>
  </cols>
  <sheetData>
    <row r="1" spans="1:14">
      <c r="A1" t="s">
        <v>0</v>
      </c>
      <c r="D1" s="394" t="str">
        <f>CharterName</f>
        <v>Harvest Power Community Development Group</v>
      </c>
      <c r="E1" s="3"/>
      <c r="F1" s="405" t="s">
        <v>38</v>
      </c>
      <c r="G1" s="390" t="str">
        <f>Cover!M1</f>
        <v>Yuma</v>
      </c>
      <c r="H1" s="2"/>
      <c r="I1" s="2"/>
      <c r="J1" s="2"/>
      <c r="K1" s="405" t="s">
        <v>2</v>
      </c>
      <c r="L1" s="395" t="str">
        <f>CTD</f>
        <v>148760000</v>
      </c>
      <c r="M1" s="2"/>
    </row>
    <row r="2" spans="1:14" ht="12.75" customHeight="1">
      <c r="A2" s="128"/>
      <c r="B2" s="128"/>
      <c r="C2" s="128"/>
      <c r="D2" s="128"/>
      <c r="E2" s="128"/>
      <c r="F2" s="128"/>
      <c r="G2" s="128"/>
      <c r="H2" s="128"/>
      <c r="I2" s="128"/>
      <c r="J2" s="128"/>
      <c r="K2" s="128"/>
    </row>
    <row r="3" spans="1:14">
      <c r="A3" s="128"/>
      <c r="B3" s="128"/>
      <c r="C3" s="128"/>
      <c r="D3" s="447" t="s">
        <v>460</v>
      </c>
      <c r="E3" s="128"/>
      <c r="F3" s="128"/>
      <c r="G3" s="128"/>
      <c r="H3" s="128"/>
      <c r="I3" s="128"/>
      <c r="J3" s="128"/>
      <c r="K3" s="128"/>
    </row>
    <row r="4" spans="1:14">
      <c r="A4" s="266"/>
      <c r="B4" s="267"/>
      <c r="C4" s="267"/>
      <c r="D4" s="518"/>
      <c r="E4" s="268"/>
      <c r="F4" s="269"/>
      <c r="G4" s="197" t="s">
        <v>179</v>
      </c>
      <c r="H4" s="270" t="s">
        <v>51</v>
      </c>
      <c r="I4" s="271"/>
      <c r="J4" s="516" t="s">
        <v>52</v>
      </c>
      <c r="K4" s="517"/>
      <c r="L4" s="271" t="s">
        <v>58</v>
      </c>
    </row>
    <row r="5" spans="1:14" ht="12.75" customHeight="1">
      <c r="A5" s="272" t="s">
        <v>53</v>
      </c>
      <c r="D5" s="519"/>
      <c r="E5" s="91"/>
      <c r="F5" s="194" t="s">
        <v>59</v>
      </c>
      <c r="G5" s="107" t="s">
        <v>60</v>
      </c>
      <c r="H5" s="273" t="s">
        <v>55</v>
      </c>
      <c r="I5" s="194" t="s">
        <v>62</v>
      </c>
      <c r="J5" s="194" t="s">
        <v>180</v>
      </c>
      <c r="K5" s="194" t="s">
        <v>181</v>
      </c>
      <c r="L5" s="194" t="s">
        <v>65</v>
      </c>
    </row>
    <row r="6" spans="1:14" ht="25.5">
      <c r="A6" s="400"/>
      <c r="B6" s="401"/>
      <c r="C6" s="401"/>
      <c r="D6" s="401"/>
      <c r="E6" s="402"/>
      <c r="F6" s="201">
        <v>6100</v>
      </c>
      <c r="G6" s="274">
        <v>6200</v>
      </c>
      <c r="H6" s="273" t="s">
        <v>182</v>
      </c>
      <c r="I6" s="194">
        <v>6600</v>
      </c>
      <c r="J6" s="194">
        <v>2026</v>
      </c>
      <c r="K6" s="194">
        <v>2027</v>
      </c>
      <c r="L6" s="194" t="s">
        <v>67</v>
      </c>
    </row>
    <row r="7" spans="1:14" ht="12.75" customHeight="1">
      <c r="A7" s="275" t="s">
        <v>183</v>
      </c>
      <c r="B7" s="276"/>
      <c r="C7" s="276"/>
      <c r="D7" s="276"/>
      <c r="F7" s="202"/>
      <c r="G7" s="203"/>
      <c r="H7" s="202"/>
      <c r="I7" s="202"/>
      <c r="J7" s="277"/>
      <c r="K7" s="203"/>
      <c r="L7" s="205"/>
      <c r="M7" s="278"/>
      <c r="N7" s="279"/>
    </row>
    <row r="8" spans="1:14">
      <c r="A8" s="53"/>
      <c r="C8" t="s">
        <v>69</v>
      </c>
      <c r="D8" s="193"/>
      <c r="E8" s="389">
        <v>1</v>
      </c>
      <c r="F8" s="7">
        <v>1500000</v>
      </c>
      <c r="G8" s="22">
        <v>300000</v>
      </c>
      <c r="H8" s="7"/>
      <c r="I8" s="7"/>
      <c r="J8" s="215">
        <f t="array" ref="J8">[1]!_CSP1000</f>
        <v>1500000</v>
      </c>
      <c r="K8" s="207">
        <f t="shared" ref="K8:K12" si="0">SUM(F8:I8)</f>
        <v>1800000</v>
      </c>
      <c r="L8" s="211">
        <f t="shared" ref="L8:L13" si="1">IF(J8=0," ",(K8-J8)/J8)</f>
        <v>0.2</v>
      </c>
      <c r="M8" s="210">
        <v>1</v>
      </c>
      <c r="N8" s="279"/>
    </row>
    <row r="9" spans="1:14" ht="12.75" customHeight="1">
      <c r="A9" s="53"/>
      <c r="C9" t="s">
        <v>184</v>
      </c>
      <c r="E9" s="389">
        <v>2</v>
      </c>
      <c r="F9" s="7"/>
      <c r="G9" s="7"/>
      <c r="H9" s="7"/>
      <c r="I9" s="7"/>
      <c r="J9" s="206">
        <f t="array" ref="J9">[1]!_CSP2100</f>
        <v>0</v>
      </c>
      <c r="K9" s="207">
        <f t="shared" si="0"/>
        <v>0</v>
      </c>
      <c r="L9" s="211" t="str">
        <f t="shared" si="1"/>
        <v xml:space="preserve"> </v>
      </c>
      <c r="M9" s="210">
        <v>2</v>
      </c>
      <c r="N9" s="279"/>
    </row>
    <row r="10" spans="1:14">
      <c r="A10" s="53"/>
      <c r="C10" t="s">
        <v>185</v>
      </c>
      <c r="E10" s="389">
        <v>3</v>
      </c>
      <c r="F10" s="7"/>
      <c r="G10" s="7"/>
      <c r="H10" s="7"/>
      <c r="I10" s="7"/>
      <c r="J10" s="206">
        <f t="array" ref="J10">[1]!_CSP2200</f>
        <v>0</v>
      </c>
      <c r="K10" s="207">
        <f t="shared" si="0"/>
        <v>0</v>
      </c>
      <c r="L10" s="211" t="str">
        <f t="shared" si="1"/>
        <v xml:space="preserve"> </v>
      </c>
      <c r="M10" s="210">
        <v>3</v>
      </c>
      <c r="N10" s="279"/>
    </row>
    <row r="11" spans="1:14">
      <c r="A11" s="53"/>
      <c r="C11" s="243" t="s">
        <v>186</v>
      </c>
      <c r="D11" s="243"/>
      <c r="E11" s="389">
        <v>4</v>
      </c>
      <c r="F11" s="225"/>
      <c r="G11" s="225"/>
      <c r="H11" s="7"/>
      <c r="I11" s="225"/>
      <c r="J11" s="206">
        <f t="array" ref="J11">[1]!_CSP2300</f>
        <v>0</v>
      </c>
      <c r="K11" s="207">
        <f t="shared" si="0"/>
        <v>0</v>
      </c>
      <c r="L11" s="219" t="str">
        <f t="shared" si="1"/>
        <v xml:space="preserve"> </v>
      </c>
      <c r="M11" s="210">
        <v>4</v>
      </c>
    </row>
    <row r="12" spans="1:14" ht="12.75" customHeight="1">
      <c r="A12" s="53"/>
      <c r="C12" t="s">
        <v>187</v>
      </c>
      <c r="E12" s="389">
        <v>5</v>
      </c>
      <c r="F12" s="8"/>
      <c r="G12" s="8"/>
      <c r="H12" s="7"/>
      <c r="I12" s="225"/>
      <c r="J12" s="206">
        <f t="array" ref="J12">[1]!_CSP3300</f>
        <v>0</v>
      </c>
      <c r="K12" s="207">
        <f t="shared" si="0"/>
        <v>0</v>
      </c>
      <c r="L12" s="211" t="str">
        <f t="shared" si="1"/>
        <v xml:space="preserve"> </v>
      </c>
      <c r="M12" s="210">
        <v>5</v>
      </c>
      <c r="N12" s="279"/>
    </row>
    <row r="13" spans="1:14" ht="12.75" customHeight="1">
      <c r="A13" s="75" t="s">
        <v>188</v>
      </c>
      <c r="B13" s="226"/>
      <c r="C13" s="226"/>
      <c r="D13" s="226"/>
      <c r="E13" s="280">
        <v>6</v>
      </c>
      <c r="F13" s="281">
        <f>SUM(F8:F12)</f>
        <v>1500000</v>
      </c>
      <c r="G13" s="281">
        <f>SUM(G8:G12)</f>
        <v>300000</v>
      </c>
      <c r="H13" s="281">
        <f>SUM(H8:H12)</f>
        <v>0</v>
      </c>
      <c r="I13" s="281">
        <f>SUM(I8:I12)</f>
        <v>0</v>
      </c>
      <c r="J13" s="282">
        <f t="array" ref="J13">[1]!CSPTotal</f>
        <v>1500000</v>
      </c>
      <c r="K13" s="281">
        <f>SUM(F13:I13)</f>
        <v>1800000</v>
      </c>
      <c r="L13" s="211">
        <f t="shared" si="1"/>
        <v>0.2</v>
      </c>
      <c r="M13" s="210">
        <v>6</v>
      </c>
    </row>
    <row r="16" spans="1:14" ht="12.75" customHeight="1">
      <c r="A16" s="275" t="s">
        <v>189</v>
      </c>
      <c r="B16" s="283"/>
      <c r="C16" s="283"/>
      <c r="D16" s="283"/>
    </row>
    <row r="17" spans="3:6" ht="12.75" customHeight="1">
      <c r="C17" t="s">
        <v>190</v>
      </c>
      <c r="D17" s="191"/>
      <c r="F17" s="8"/>
    </row>
    <row r="18" spans="3:6" ht="12.75" customHeight="1">
      <c r="C18" t="s">
        <v>168</v>
      </c>
      <c r="D18" s="191"/>
      <c r="F18" s="7"/>
    </row>
    <row r="19" spans="3:6" ht="12.75" customHeight="1">
      <c r="C19" t="s">
        <v>170</v>
      </c>
      <c r="D19" s="191"/>
      <c r="F19" s="7"/>
    </row>
  </sheetData>
  <mergeCells count="2">
    <mergeCell ref="J4:K4"/>
    <mergeCell ref="D4:D5"/>
  </mergeCells>
  <hyperlinks>
    <hyperlink ref="A7:D7" location="Pg3ClassroomSiteProj" display="Classroom Site Project 1011 - Base Salary" xr:uid="{00000000-0004-0000-0400-000000000000}"/>
    <hyperlink ref="C11" location="Page3ClassroomSiteProjectsFunc2300" display="2300 Support Services - General Administration" xr:uid="{00000000-0004-0000-0400-000001000000}"/>
    <hyperlink ref="A16:D16" location="Page3ClassroomSiteProjectsSubTable" display="Classroom Site Project 1010" xr:uid="{00000000-0004-0000-0400-000002000000}"/>
    <hyperlink ref="D3" location="Pg3ClassroomSiteProj" display="Instructions" xr:uid="{00000000-0004-0000-0400-000003000000}"/>
  </hyperlinks>
  <printOptions horizontalCentered="1"/>
  <pageMargins left="0.75" right="0.5" top="0.25" bottom="0.25" header="0" footer="0"/>
  <pageSetup scale="67" orientation="landscape" r:id="rId1"/>
  <headerFooter>
    <oddFooter>&amp;L&amp;"Arial,Bold"Rev. 5/26 Arizona Department of Education and Auditor General&amp;R&amp;"Arial,Bold"Page 3 of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P43"/>
  <sheetViews>
    <sheetView showGridLines="0" workbookViewId="0"/>
  </sheetViews>
  <sheetFormatPr defaultColWidth="9.28515625" defaultRowHeight="12.75"/>
  <cols>
    <col min="1" max="2" width="1.5703125" customWidth="1"/>
    <col min="3" max="3" width="14.5703125" customWidth="1"/>
    <col min="4" max="4" width="27" customWidth="1"/>
    <col min="5" max="5" width="3.5703125" customWidth="1"/>
    <col min="6" max="7" width="7" customWidth="1"/>
    <col min="8" max="14" width="12.5703125" customWidth="1"/>
    <col min="15" max="15" width="11.5703125" customWidth="1"/>
    <col min="16" max="16" width="3.5703125" customWidth="1"/>
    <col min="17" max="17" width="7" customWidth="1"/>
  </cols>
  <sheetData>
    <row r="1" spans="1:16">
      <c r="A1" t="s">
        <v>191</v>
      </c>
      <c r="D1" s="505" t="str">
        <f>CharterName</f>
        <v>Harvest Power Community Development Group</v>
      </c>
      <c r="E1" s="505"/>
      <c r="F1" s="505"/>
      <c r="G1" s="3"/>
      <c r="I1" s="405" t="s">
        <v>38</v>
      </c>
      <c r="J1" s="508" t="str">
        <f>Cover!M1</f>
        <v>Yuma</v>
      </c>
      <c r="K1" s="508"/>
      <c r="M1" s="405" t="s">
        <v>2</v>
      </c>
      <c r="N1" s="506" t="str">
        <f>CTD</f>
        <v>148760000</v>
      </c>
      <c r="O1" s="506"/>
    </row>
    <row r="2" spans="1:16">
      <c r="A2" s="128"/>
      <c r="B2" s="128"/>
      <c r="C2" s="284"/>
      <c r="D2" s="128"/>
      <c r="E2" s="128"/>
      <c r="F2" s="128"/>
      <c r="G2" s="128"/>
      <c r="H2" s="128"/>
      <c r="I2" s="128"/>
      <c r="J2" s="128"/>
    </row>
    <row r="3" spans="1:16">
      <c r="A3" s="285"/>
      <c r="B3" s="286"/>
      <c r="C3" s="286"/>
      <c r="D3" s="518"/>
      <c r="E3" s="287"/>
      <c r="F3" s="288" t="s">
        <v>192</v>
      </c>
      <c r="G3" s="268"/>
      <c r="H3" s="205"/>
      <c r="I3" s="205"/>
      <c r="J3" s="271" t="s">
        <v>51</v>
      </c>
      <c r="K3" s="204"/>
      <c r="L3" s="204"/>
      <c r="M3" s="195" t="s">
        <v>52</v>
      </c>
      <c r="N3" s="196"/>
      <c r="O3" s="205"/>
    </row>
    <row r="4" spans="1:16">
      <c r="A4" s="515" t="s">
        <v>460</v>
      </c>
      <c r="B4" s="515"/>
      <c r="C4" s="515"/>
      <c r="D4" s="519"/>
      <c r="E4" s="91"/>
      <c r="F4" s="289" t="s">
        <v>193</v>
      </c>
      <c r="G4" s="290"/>
      <c r="H4" s="194"/>
      <c r="I4" s="194" t="s">
        <v>194</v>
      </c>
      <c r="J4" s="194" t="s">
        <v>55</v>
      </c>
      <c r="K4" s="198"/>
      <c r="L4" s="198"/>
      <c r="M4" s="198"/>
      <c r="N4" s="198"/>
      <c r="O4" s="194" t="s">
        <v>58</v>
      </c>
    </row>
    <row r="5" spans="1:16">
      <c r="A5" s="272" t="s">
        <v>53</v>
      </c>
      <c r="E5" s="91"/>
      <c r="F5" s="271" t="s">
        <v>56</v>
      </c>
      <c r="G5" s="271" t="s">
        <v>57</v>
      </c>
      <c r="H5" s="194" t="s">
        <v>59</v>
      </c>
      <c r="I5" s="194" t="s">
        <v>60</v>
      </c>
      <c r="J5" s="194" t="s">
        <v>61</v>
      </c>
      <c r="K5" s="194" t="s">
        <v>62</v>
      </c>
      <c r="L5" s="194" t="s">
        <v>63</v>
      </c>
      <c r="M5" s="194" t="s">
        <v>180</v>
      </c>
      <c r="N5" s="194" t="s">
        <v>181</v>
      </c>
      <c r="O5" s="194" t="s">
        <v>65</v>
      </c>
    </row>
    <row r="6" spans="1:16">
      <c r="A6" s="291"/>
      <c r="B6" s="401"/>
      <c r="C6" s="401"/>
      <c r="D6" s="401"/>
      <c r="E6" s="216"/>
      <c r="F6" s="194" t="s">
        <v>64</v>
      </c>
      <c r="G6" s="194" t="s">
        <v>64</v>
      </c>
      <c r="H6" s="201">
        <v>6100</v>
      </c>
      <c r="I6" s="201">
        <v>6200</v>
      </c>
      <c r="J6" s="201">
        <v>6500</v>
      </c>
      <c r="K6" s="201">
        <v>6600</v>
      </c>
      <c r="L6" s="201">
        <v>6800</v>
      </c>
      <c r="M6" s="194">
        <v>2026</v>
      </c>
      <c r="N6" s="194">
        <v>2027</v>
      </c>
      <c r="O6" s="194" t="s">
        <v>67</v>
      </c>
    </row>
    <row r="7" spans="1:16">
      <c r="A7" s="292" t="s">
        <v>195</v>
      </c>
      <c r="B7" s="293"/>
      <c r="C7" s="293"/>
      <c r="D7" s="293"/>
      <c r="E7" s="294"/>
      <c r="F7" s="295"/>
      <c r="G7" s="296"/>
      <c r="H7" s="202"/>
      <c r="I7" s="202"/>
      <c r="J7" s="202"/>
      <c r="K7" s="202"/>
      <c r="L7" s="203"/>
      <c r="M7" s="205"/>
      <c r="N7" s="205"/>
      <c r="O7" s="205"/>
    </row>
    <row r="8" spans="1:16">
      <c r="A8" s="53"/>
      <c r="B8" t="s">
        <v>196</v>
      </c>
      <c r="E8" s="389"/>
      <c r="F8" s="297"/>
      <c r="G8" s="298"/>
      <c r="H8" s="217"/>
      <c r="I8" s="217"/>
      <c r="J8" s="217"/>
      <c r="K8" s="217"/>
      <c r="L8" s="208"/>
      <c r="M8" s="217"/>
      <c r="N8" s="217"/>
      <c r="O8" s="209"/>
    </row>
    <row r="9" spans="1:16">
      <c r="A9" s="53"/>
      <c r="C9" t="s">
        <v>69</v>
      </c>
      <c r="E9" s="389">
        <v>1</v>
      </c>
      <c r="F9" s="299">
        <f t="array" ref="F9">[1]!SEIP1071P260F1000PPL</f>
        <v>0</v>
      </c>
      <c r="G9" s="23"/>
      <c r="H9" s="7"/>
      <c r="I9" s="7"/>
      <c r="J9" s="7"/>
      <c r="K9" s="7"/>
      <c r="L9" s="22"/>
      <c r="M9" s="206">
        <f t="array" ref="M9">[1]!SEIP1071P260F1000</f>
        <v>0</v>
      </c>
      <c r="N9" s="206">
        <f>SUM(H7:L9)</f>
        <v>0</v>
      </c>
      <c r="O9" s="211" t="str">
        <f>IF(M9=0," ",(N9-M9)/M9)</f>
        <v xml:space="preserve"> </v>
      </c>
      <c r="P9" s="210">
        <v>1</v>
      </c>
    </row>
    <row r="10" spans="1:16">
      <c r="A10" s="53"/>
      <c r="C10" t="s">
        <v>70</v>
      </c>
      <c r="E10" s="389"/>
      <c r="F10" s="205"/>
      <c r="G10" s="296"/>
      <c r="H10" s="202"/>
      <c r="I10" s="202"/>
      <c r="J10" s="202"/>
      <c r="K10" s="202"/>
      <c r="L10" s="203"/>
      <c r="M10" s="205"/>
      <c r="N10" s="205"/>
      <c r="O10" s="205"/>
      <c r="P10" s="210"/>
    </row>
    <row r="11" spans="1:16">
      <c r="A11" s="53"/>
      <c r="C11" t="s">
        <v>197</v>
      </c>
      <c r="E11" s="389">
        <v>2</v>
      </c>
      <c r="F11" s="299">
        <f t="array" ref="F11">[1]!SEIP1071P260F2100PPL</f>
        <v>0</v>
      </c>
      <c r="G11" s="23"/>
      <c r="H11" s="7"/>
      <c r="I11" s="7"/>
      <c r="J11" s="7"/>
      <c r="K11" s="7"/>
      <c r="L11" s="22"/>
      <c r="M11" s="206">
        <f t="array" ref="M11">[1]!SEIP1071P260F2100</f>
        <v>0</v>
      </c>
      <c r="N11" s="206">
        <f>SUM(H10:L11)</f>
        <v>0</v>
      </c>
      <c r="O11" s="211" t="str">
        <f>IF(M11=0," ",(N11-M11)/M11)</f>
        <v xml:space="preserve"> </v>
      </c>
      <c r="P11" s="210">
        <v>2</v>
      </c>
    </row>
    <row r="12" spans="1:16">
      <c r="A12" s="53"/>
      <c r="C12" t="s">
        <v>198</v>
      </c>
      <c r="E12" s="214">
        <v>3</v>
      </c>
      <c r="F12" s="299">
        <f t="array" ref="F12">[1]!SEIP1071P260F2200PPL</f>
        <v>0</v>
      </c>
      <c r="G12" s="17"/>
      <c r="H12" s="18"/>
      <c r="I12" s="18"/>
      <c r="J12" s="18"/>
      <c r="K12" s="18"/>
      <c r="L12" s="18"/>
      <c r="M12" s="300">
        <f t="array" ref="M12">[1]!SEIP1071P260F2200</f>
        <v>0</v>
      </c>
      <c r="N12" s="206">
        <f t="shared" ref="N12:N17" si="0">SUM(H12:L12)</f>
        <v>0</v>
      </c>
      <c r="O12" s="301" t="str">
        <f t="shared" ref="O12:O18" si="1">IF(M12=0," ",(N12-M12)/M12)</f>
        <v xml:space="preserve"> </v>
      </c>
      <c r="P12" s="212">
        <v>3</v>
      </c>
    </row>
    <row r="13" spans="1:16">
      <c r="A13" s="53"/>
      <c r="C13" t="s">
        <v>199</v>
      </c>
      <c r="E13" s="214">
        <v>4</v>
      </c>
      <c r="F13" s="302">
        <f t="array" ref="F13">[1]!SEIP1071P260F2300PPL</f>
        <v>0</v>
      </c>
      <c r="G13" s="17"/>
      <c r="H13" s="18"/>
      <c r="I13" s="18"/>
      <c r="J13" s="18"/>
      <c r="K13" s="18"/>
      <c r="L13" s="18"/>
      <c r="M13" s="282">
        <f t="array" ref="M13">[1]!SEIP1071P260F2300</f>
        <v>0</v>
      </c>
      <c r="N13" s="213">
        <f t="shared" si="0"/>
        <v>0</v>
      </c>
      <c r="O13" s="303" t="str">
        <f t="shared" si="1"/>
        <v xml:space="preserve"> </v>
      </c>
      <c r="P13" s="212">
        <v>4</v>
      </c>
    </row>
    <row r="14" spans="1:16">
      <c r="A14" s="53"/>
      <c r="C14" t="s">
        <v>200</v>
      </c>
      <c r="E14" s="214">
        <v>5</v>
      </c>
      <c r="F14" s="302">
        <f t="array" ref="F14">[1]!SEIP1071P260F2400PPL</f>
        <v>0</v>
      </c>
      <c r="G14" s="17"/>
      <c r="H14" s="18"/>
      <c r="I14" s="18"/>
      <c r="J14" s="18"/>
      <c r="K14" s="18"/>
      <c r="L14" s="18"/>
      <c r="M14" s="282">
        <f t="array" ref="M14">[1]!SEIP1071P260F2400</f>
        <v>0</v>
      </c>
      <c r="N14" s="213">
        <f t="shared" si="0"/>
        <v>0</v>
      </c>
      <c r="O14" s="303" t="str">
        <f t="shared" si="1"/>
        <v xml:space="preserve"> </v>
      </c>
      <c r="P14" s="212">
        <v>5</v>
      </c>
    </row>
    <row r="15" spans="1:16">
      <c r="A15" s="53"/>
      <c r="C15" t="s">
        <v>201</v>
      </c>
      <c r="E15" s="214">
        <v>6</v>
      </c>
      <c r="F15" s="302">
        <f t="array" ref="F15">[1]!SEIP1071P260F2500PPL</f>
        <v>0</v>
      </c>
      <c r="G15" s="17"/>
      <c r="H15" s="18"/>
      <c r="I15" s="18"/>
      <c r="J15" s="18"/>
      <c r="K15" s="18"/>
      <c r="L15" s="18"/>
      <c r="M15" s="282">
        <f t="array" ref="M15">[1]!SEIP1071P260F2500</f>
        <v>0</v>
      </c>
      <c r="N15" s="213">
        <f t="shared" si="0"/>
        <v>0</v>
      </c>
      <c r="O15" s="303" t="str">
        <f t="shared" si="1"/>
        <v xml:space="preserve"> </v>
      </c>
      <c r="P15" s="212">
        <v>6</v>
      </c>
    </row>
    <row r="16" spans="1:16">
      <c r="A16" s="53"/>
      <c r="C16" t="s">
        <v>202</v>
      </c>
      <c r="E16" s="214">
        <v>7</v>
      </c>
      <c r="F16" s="302">
        <f t="array" ref="F16">[1]!SEIP1071P260F2600PPL</f>
        <v>0</v>
      </c>
      <c r="G16" s="12"/>
      <c r="H16" s="8"/>
      <c r="I16" s="8"/>
      <c r="J16" s="8"/>
      <c r="K16" s="8"/>
      <c r="L16" s="8"/>
      <c r="M16" s="282">
        <f t="array" ref="M16">[1]!SEIP1071P260F2600</f>
        <v>0</v>
      </c>
      <c r="N16" s="213">
        <f t="shared" si="0"/>
        <v>0</v>
      </c>
      <c r="O16" s="303" t="str">
        <f t="shared" si="1"/>
        <v xml:space="preserve"> </v>
      </c>
      <c r="P16" s="212">
        <v>7</v>
      </c>
    </row>
    <row r="17" spans="1:16">
      <c r="A17" s="53"/>
      <c r="C17" t="s">
        <v>203</v>
      </c>
      <c r="E17" s="214">
        <v>8</v>
      </c>
      <c r="F17" s="302">
        <f t="array" ref="F17">[1]!SEIP1071P260F2900PPL</f>
        <v>0</v>
      </c>
      <c r="G17" s="13"/>
      <c r="H17" s="7"/>
      <c r="I17" s="7"/>
      <c r="J17" s="7"/>
      <c r="K17" s="7"/>
      <c r="L17" s="7"/>
      <c r="M17" s="282">
        <f t="array" ref="M17">[1]!SEIP1071P260F2900</f>
        <v>0</v>
      </c>
      <c r="N17" s="213">
        <f t="shared" si="0"/>
        <v>0</v>
      </c>
      <c r="O17" s="303" t="str">
        <f t="shared" si="1"/>
        <v xml:space="preserve"> </v>
      </c>
      <c r="P17" s="212">
        <v>8</v>
      </c>
    </row>
    <row r="18" spans="1:16">
      <c r="A18" s="400"/>
      <c r="B18" s="401" t="s">
        <v>204</v>
      </c>
      <c r="C18" s="401"/>
      <c r="D18" s="401"/>
      <c r="E18" s="216">
        <v>9</v>
      </c>
      <c r="F18" s="297">
        <f>SUM(F8:F17)</f>
        <v>0</v>
      </c>
      <c r="G18" s="299">
        <f t="shared" ref="G18:L18" si="2">SUM(G7:G17)</f>
        <v>0</v>
      </c>
      <c r="H18" s="206">
        <f t="shared" si="2"/>
        <v>0</v>
      </c>
      <c r="I18" s="206">
        <f t="shared" si="2"/>
        <v>0</v>
      </c>
      <c r="J18" s="206">
        <f t="shared" si="2"/>
        <v>0</v>
      </c>
      <c r="K18" s="206">
        <f t="shared" si="2"/>
        <v>0</v>
      </c>
      <c r="L18" s="206">
        <f t="shared" si="2"/>
        <v>0</v>
      </c>
      <c r="M18" s="217">
        <f>SUM(M8:M17)</f>
        <v>0</v>
      </c>
      <c r="N18" s="217">
        <f>SUM(N8:N17)</f>
        <v>0</v>
      </c>
      <c r="O18" s="304" t="str">
        <f t="shared" si="1"/>
        <v xml:space="preserve"> </v>
      </c>
      <c r="P18" s="210">
        <v>9</v>
      </c>
    </row>
    <row r="19" spans="1:16">
      <c r="A19" s="53"/>
      <c r="B19" t="s">
        <v>205</v>
      </c>
      <c r="E19" s="389"/>
      <c r="F19" s="205"/>
      <c r="G19" s="296"/>
      <c r="H19" s="202"/>
      <c r="I19" s="202"/>
      <c r="J19" s="202"/>
      <c r="K19" s="202"/>
      <c r="L19" s="203"/>
      <c r="M19" s="205"/>
      <c r="N19" s="204"/>
      <c r="O19" s="205"/>
      <c r="P19" s="210"/>
    </row>
    <row r="20" spans="1:16">
      <c r="A20" s="53"/>
      <c r="C20" t="s">
        <v>70</v>
      </c>
      <c r="E20" s="389"/>
      <c r="F20" s="297"/>
      <c r="G20" s="298"/>
      <c r="H20" s="217"/>
      <c r="I20" s="217"/>
      <c r="J20" s="217"/>
      <c r="K20" s="217"/>
      <c r="L20" s="208"/>
      <c r="M20" s="217"/>
      <c r="N20" s="208"/>
      <c r="O20" s="209"/>
      <c r="P20" s="210"/>
    </row>
    <row r="21" spans="1:16">
      <c r="A21" s="53"/>
      <c r="C21" t="s">
        <v>206</v>
      </c>
      <c r="E21" s="389">
        <v>10</v>
      </c>
      <c r="F21" s="299">
        <f t="array" ref="F21">[1]!SEIP1071P430F2700PPL</f>
        <v>0</v>
      </c>
      <c r="G21" s="23"/>
      <c r="H21" s="7"/>
      <c r="I21" s="7"/>
      <c r="J21" s="7"/>
      <c r="K21" s="7"/>
      <c r="L21" s="22"/>
      <c r="M21" s="206">
        <f t="array" ref="M21">[1]!SEIP1071P430F2700</f>
        <v>0</v>
      </c>
      <c r="N21" s="207">
        <f>SUM(H19:L21)</f>
        <v>0</v>
      </c>
      <c r="O21" s="211" t="str">
        <f>IF(M21=0," ",(N21-M21)/M21)</f>
        <v xml:space="preserve"> </v>
      </c>
      <c r="P21" s="210">
        <v>10</v>
      </c>
    </row>
    <row r="22" spans="1:16">
      <c r="A22" s="75" t="s">
        <v>207</v>
      </c>
      <c r="B22" s="226"/>
      <c r="C22" s="226"/>
      <c r="D22" s="226"/>
      <c r="E22" s="280">
        <v>11</v>
      </c>
      <c r="F22" s="299">
        <f t="shared" ref="F22:L22" si="3">SUM(F18:F21)</f>
        <v>0</v>
      </c>
      <c r="G22" s="299">
        <f t="shared" si="3"/>
        <v>0</v>
      </c>
      <c r="H22" s="213">
        <f t="shared" si="3"/>
        <v>0</v>
      </c>
      <c r="I22" s="213">
        <f t="shared" si="3"/>
        <v>0</v>
      </c>
      <c r="J22" s="213">
        <f t="shared" si="3"/>
        <v>0</v>
      </c>
      <c r="K22" s="213">
        <f t="shared" si="3"/>
        <v>0</v>
      </c>
      <c r="L22" s="213">
        <f t="shared" si="3"/>
        <v>0</v>
      </c>
      <c r="M22" s="206">
        <f t="array" ref="M22">[1]!TotalSEIP</f>
        <v>0</v>
      </c>
      <c r="N22" s="206">
        <f>SUM(N18:N21)</f>
        <v>0</v>
      </c>
      <c r="O22" s="211" t="str">
        <f>IF(M22=0," ",(N22-M22)/M22)</f>
        <v xml:space="preserve"> </v>
      </c>
      <c r="P22" s="212">
        <v>11</v>
      </c>
    </row>
    <row r="24" spans="1:16">
      <c r="A24" s="285"/>
      <c r="B24" s="286"/>
      <c r="C24" s="286"/>
      <c r="D24" s="286"/>
      <c r="E24" s="287"/>
      <c r="F24" s="288" t="s">
        <v>192</v>
      </c>
      <c r="G24" s="268"/>
      <c r="H24" s="205"/>
      <c r="I24" s="205"/>
      <c r="J24" s="271" t="s">
        <v>51</v>
      </c>
      <c r="K24" s="204"/>
      <c r="L24" s="204"/>
      <c r="M24" s="195" t="s">
        <v>52</v>
      </c>
      <c r="N24" s="196"/>
      <c r="O24" s="205"/>
    </row>
    <row r="25" spans="1:16">
      <c r="A25" s="272"/>
      <c r="E25" s="91"/>
      <c r="F25" s="289" t="s">
        <v>193</v>
      </c>
      <c r="G25" s="290"/>
      <c r="H25" s="194"/>
      <c r="I25" s="194" t="s">
        <v>194</v>
      </c>
      <c r="J25" s="194" t="s">
        <v>55</v>
      </c>
      <c r="K25" s="198"/>
      <c r="L25" s="198"/>
      <c r="M25" s="198"/>
      <c r="N25" s="198"/>
      <c r="O25" s="194" t="s">
        <v>58</v>
      </c>
    </row>
    <row r="26" spans="1:16">
      <c r="A26" s="272" t="s">
        <v>53</v>
      </c>
      <c r="E26" s="91"/>
      <c r="F26" s="271" t="s">
        <v>56</v>
      </c>
      <c r="G26" s="271" t="s">
        <v>57</v>
      </c>
      <c r="H26" s="194" t="s">
        <v>59</v>
      </c>
      <c r="I26" s="194" t="s">
        <v>60</v>
      </c>
      <c r="J26" s="194" t="s">
        <v>61</v>
      </c>
      <c r="K26" s="194" t="s">
        <v>62</v>
      </c>
      <c r="L26" s="194" t="s">
        <v>63</v>
      </c>
      <c r="M26" s="194" t="s">
        <v>180</v>
      </c>
      <c r="N26" s="194" t="s">
        <v>181</v>
      </c>
      <c r="O26" s="194" t="s">
        <v>65</v>
      </c>
    </row>
    <row r="27" spans="1:16">
      <c r="A27" s="291"/>
      <c r="B27" s="401"/>
      <c r="C27" s="401"/>
      <c r="D27" s="401"/>
      <c r="E27" s="216"/>
      <c r="F27" s="194" t="s">
        <v>64</v>
      </c>
      <c r="G27" s="194" t="s">
        <v>64</v>
      </c>
      <c r="H27" s="201">
        <v>6100</v>
      </c>
      <c r="I27" s="201">
        <v>6200</v>
      </c>
      <c r="J27" s="201">
        <v>6500</v>
      </c>
      <c r="K27" s="201">
        <v>6600</v>
      </c>
      <c r="L27" s="201">
        <v>6800</v>
      </c>
      <c r="M27" s="194">
        <v>2026</v>
      </c>
      <c r="N27" s="194">
        <v>2027</v>
      </c>
      <c r="O27" s="194" t="s">
        <v>67</v>
      </c>
    </row>
    <row r="28" spans="1:16">
      <c r="A28" s="292" t="s">
        <v>208</v>
      </c>
      <c r="B28" s="305"/>
      <c r="C28" s="305"/>
      <c r="D28" s="305"/>
      <c r="E28" s="306"/>
      <c r="F28" s="205"/>
      <c r="G28" s="296"/>
      <c r="H28" s="202"/>
      <c r="I28" s="202"/>
      <c r="J28" s="202"/>
      <c r="K28" s="202"/>
      <c r="L28" s="203"/>
      <c r="M28" s="205"/>
      <c r="N28" s="205"/>
      <c r="O28" s="205"/>
    </row>
    <row r="29" spans="1:16">
      <c r="A29" s="53"/>
      <c r="B29" t="s">
        <v>209</v>
      </c>
      <c r="E29" s="389"/>
      <c r="F29" s="297"/>
      <c r="G29" s="298"/>
      <c r="H29" s="217"/>
      <c r="I29" s="217"/>
      <c r="J29" s="217"/>
      <c r="K29" s="217"/>
      <c r="L29" s="208"/>
      <c r="M29" s="217"/>
      <c r="N29" s="217"/>
      <c r="O29" s="209"/>
    </row>
    <row r="30" spans="1:16">
      <c r="A30" s="53"/>
      <c r="C30" t="s">
        <v>69</v>
      </c>
      <c r="E30" s="389">
        <v>12</v>
      </c>
      <c r="F30" s="299">
        <f t="array" ref="F30">[1]!CIP1072P265F1000PPL</f>
        <v>0</v>
      </c>
      <c r="G30" s="23"/>
      <c r="H30" s="7"/>
      <c r="I30" s="7"/>
      <c r="J30" s="7"/>
      <c r="K30" s="7"/>
      <c r="L30" s="22"/>
      <c r="M30" s="206">
        <f t="array" ref="M30">[1]!CIP1072P265F1000</f>
        <v>0</v>
      </c>
      <c r="N30" s="206">
        <f>SUM(H28:L30)</f>
        <v>0</v>
      </c>
      <c r="O30" s="211" t="str">
        <f>IF(M30=0," ",(N30-M30)/M30)</f>
        <v xml:space="preserve"> </v>
      </c>
      <c r="P30" s="210">
        <v>12</v>
      </c>
    </row>
    <row r="31" spans="1:16">
      <c r="A31" s="53"/>
      <c r="C31" t="s">
        <v>70</v>
      </c>
      <c r="E31" s="389"/>
      <c r="F31" s="205"/>
      <c r="G31" s="296"/>
      <c r="H31" s="202"/>
      <c r="I31" s="202"/>
      <c r="J31" s="202"/>
      <c r="K31" s="202"/>
      <c r="L31" s="203"/>
      <c r="M31" s="205"/>
      <c r="N31" s="205"/>
      <c r="O31" s="205"/>
    </row>
    <row r="32" spans="1:16">
      <c r="A32" s="53"/>
      <c r="C32" t="s">
        <v>197</v>
      </c>
      <c r="E32" s="389">
        <v>13</v>
      </c>
      <c r="F32" s="299">
        <f t="array" ref="F32">[1]!CIP1072P265F2100PPL</f>
        <v>0</v>
      </c>
      <c r="G32" s="23"/>
      <c r="H32" s="7"/>
      <c r="I32" s="7"/>
      <c r="J32" s="7"/>
      <c r="K32" s="7"/>
      <c r="L32" s="22"/>
      <c r="M32" s="206">
        <f t="array" ref="M32">[1]!CIP1072P265F2100</f>
        <v>0</v>
      </c>
      <c r="N32" s="206">
        <f>SUM(H31:L32)</f>
        <v>0</v>
      </c>
      <c r="O32" s="211" t="str">
        <f>IF(M32=0," ",(N32-M32)/M32)</f>
        <v xml:space="preserve"> </v>
      </c>
      <c r="P32" s="210">
        <v>13</v>
      </c>
    </row>
    <row r="33" spans="1:16">
      <c r="A33" s="53"/>
      <c r="C33" t="s">
        <v>198</v>
      </c>
      <c r="E33" s="214">
        <v>14</v>
      </c>
      <c r="F33" s="299">
        <f t="array" ref="F33">[1]!CIP1072P265F2200PPL</f>
        <v>0</v>
      </c>
      <c r="G33" s="17"/>
      <c r="H33" s="18"/>
      <c r="I33" s="18"/>
      <c r="J33" s="18"/>
      <c r="K33" s="18"/>
      <c r="L33" s="18"/>
      <c r="M33" s="300">
        <f t="array" ref="M33">[1]!CIP1072P265F2200</f>
        <v>0</v>
      </c>
      <c r="N33" s="206">
        <f t="shared" ref="N33:N38" si="4">SUM(H33:L33)</f>
        <v>0</v>
      </c>
      <c r="O33" s="301" t="str">
        <f t="shared" ref="O33:O39" si="5">IF(M33=0," ",(N33-M33)/M33)</f>
        <v xml:space="preserve"> </v>
      </c>
      <c r="P33" s="212">
        <v>14</v>
      </c>
    </row>
    <row r="34" spans="1:16">
      <c r="A34" s="53"/>
      <c r="C34" t="s">
        <v>199</v>
      </c>
      <c r="E34" s="214">
        <v>15</v>
      </c>
      <c r="F34" s="299">
        <f t="array" ref="F34">[1]!CIP1072P265F2300PPL</f>
        <v>0</v>
      </c>
      <c r="G34" s="11"/>
      <c r="H34" s="9"/>
      <c r="I34" s="9"/>
      <c r="J34" s="9"/>
      <c r="K34" s="9"/>
      <c r="L34" s="9"/>
      <c r="M34" s="282">
        <f t="array" ref="M34">[1]!CIP1072P265F2300</f>
        <v>0</v>
      </c>
      <c r="N34" s="213">
        <f t="shared" si="4"/>
        <v>0</v>
      </c>
      <c r="O34" s="303" t="str">
        <f t="shared" si="5"/>
        <v xml:space="preserve"> </v>
      </c>
      <c r="P34" s="212">
        <v>15</v>
      </c>
    </row>
    <row r="35" spans="1:16">
      <c r="A35" s="53"/>
      <c r="C35" t="s">
        <v>200</v>
      </c>
      <c r="E35" s="214">
        <v>16</v>
      </c>
      <c r="F35" s="299">
        <f t="array" ref="F35">[1]!CIP1072P265F2400PPL</f>
        <v>0</v>
      </c>
      <c r="G35" s="11"/>
      <c r="H35" s="9"/>
      <c r="I35" s="9"/>
      <c r="J35" s="9"/>
      <c r="K35" s="9"/>
      <c r="L35" s="9"/>
      <c r="M35" s="282">
        <f t="array" ref="M35">[1]!CIP1072P265F2400</f>
        <v>0</v>
      </c>
      <c r="N35" s="213">
        <f t="shared" si="4"/>
        <v>0</v>
      </c>
      <c r="O35" s="303" t="str">
        <f t="shared" si="5"/>
        <v xml:space="preserve"> </v>
      </c>
      <c r="P35" s="212">
        <v>16</v>
      </c>
    </row>
    <row r="36" spans="1:16">
      <c r="A36" s="53"/>
      <c r="C36" t="s">
        <v>201</v>
      </c>
      <c r="E36" s="214">
        <v>17</v>
      </c>
      <c r="F36" s="299">
        <f t="array" ref="F36">[1]!CIP1072P265F2500PPL</f>
        <v>0</v>
      </c>
      <c r="G36" s="11"/>
      <c r="H36" s="9"/>
      <c r="I36" s="9"/>
      <c r="J36" s="9"/>
      <c r="K36" s="9"/>
      <c r="L36" s="9"/>
      <c r="M36" s="282">
        <f t="array" ref="M36">[1]!CIP1072P265F2500</f>
        <v>0</v>
      </c>
      <c r="N36" s="213">
        <f t="shared" si="4"/>
        <v>0</v>
      </c>
      <c r="O36" s="303" t="str">
        <f t="shared" si="5"/>
        <v xml:space="preserve"> </v>
      </c>
      <c r="P36" s="212">
        <v>17</v>
      </c>
    </row>
    <row r="37" spans="1:16">
      <c r="A37" s="53"/>
      <c r="C37" t="s">
        <v>202</v>
      </c>
      <c r="E37" s="214">
        <v>18</v>
      </c>
      <c r="F37" s="302">
        <f t="array" ref="F37">[1]!CIP1072P265F2600PPL</f>
        <v>0</v>
      </c>
      <c r="G37" s="12"/>
      <c r="H37" s="8"/>
      <c r="I37" s="8"/>
      <c r="J37" s="8"/>
      <c r="K37" s="8"/>
      <c r="L37" s="8"/>
      <c r="M37" s="282">
        <f t="array" ref="M37">[1]!CIP1072P265F2600</f>
        <v>0</v>
      </c>
      <c r="N37" s="213">
        <f t="shared" si="4"/>
        <v>0</v>
      </c>
      <c r="O37" s="303" t="str">
        <f t="shared" si="5"/>
        <v xml:space="preserve"> </v>
      </c>
      <c r="P37" s="212">
        <v>18</v>
      </c>
    </row>
    <row r="38" spans="1:16">
      <c r="A38" s="53"/>
      <c r="C38" t="s">
        <v>203</v>
      </c>
      <c r="E38" s="214">
        <v>19</v>
      </c>
      <c r="F38" s="299">
        <f t="array" ref="F38">[1]!CIP1072P265F2900PPL</f>
        <v>0</v>
      </c>
      <c r="G38" s="13"/>
      <c r="H38" s="7"/>
      <c r="I38" s="7"/>
      <c r="J38" s="7"/>
      <c r="K38" s="7"/>
      <c r="L38" s="7"/>
      <c r="M38" s="282">
        <f t="array" ref="M38">[1]!CIP1072P265F2900</f>
        <v>0</v>
      </c>
      <c r="N38" s="213">
        <f t="shared" si="4"/>
        <v>0</v>
      </c>
      <c r="O38" s="303" t="str">
        <f t="shared" si="5"/>
        <v xml:space="preserve"> </v>
      </c>
      <c r="P38" s="212">
        <v>19</v>
      </c>
    </row>
    <row r="39" spans="1:16">
      <c r="A39" s="400"/>
      <c r="B39" s="401" t="s">
        <v>210</v>
      </c>
      <c r="C39" s="401"/>
      <c r="D39" s="401"/>
      <c r="E39" s="216">
        <v>20</v>
      </c>
      <c r="F39" s="297">
        <f>SUM(F29:F38)</f>
        <v>0</v>
      </c>
      <c r="G39" s="299">
        <f t="shared" ref="G39:L39" si="6">SUM(G28:G38)</f>
        <v>0</v>
      </c>
      <c r="H39" s="206">
        <f t="shared" si="6"/>
        <v>0</v>
      </c>
      <c r="I39" s="206">
        <f t="shared" si="6"/>
        <v>0</v>
      </c>
      <c r="J39" s="206">
        <f t="shared" si="6"/>
        <v>0</v>
      </c>
      <c r="K39" s="206">
        <f t="shared" si="6"/>
        <v>0</v>
      </c>
      <c r="L39" s="206">
        <f t="shared" si="6"/>
        <v>0</v>
      </c>
      <c r="M39" s="217">
        <f>SUM(M29:M38)</f>
        <v>0</v>
      </c>
      <c r="N39" s="217">
        <f>SUM(N29:N38)</f>
        <v>0</v>
      </c>
      <c r="O39" s="304" t="str">
        <f t="shared" si="5"/>
        <v xml:space="preserve"> </v>
      </c>
      <c r="P39" s="210">
        <v>20</v>
      </c>
    </row>
    <row r="40" spans="1:16">
      <c r="A40" s="53"/>
      <c r="B40" t="s">
        <v>211</v>
      </c>
      <c r="E40" s="389"/>
      <c r="F40" s="205"/>
      <c r="G40" s="296"/>
      <c r="H40" s="202"/>
      <c r="I40" s="202"/>
      <c r="J40" s="202"/>
      <c r="K40" s="202"/>
      <c r="L40" s="203"/>
      <c r="M40" s="205"/>
      <c r="N40" s="205"/>
      <c r="O40" s="205"/>
      <c r="P40" s="210"/>
    </row>
    <row r="41" spans="1:16">
      <c r="A41" s="53"/>
      <c r="C41" t="s">
        <v>70</v>
      </c>
      <c r="E41" s="389"/>
      <c r="F41" s="297"/>
      <c r="G41" s="298"/>
      <c r="H41" s="217"/>
      <c r="I41" s="217"/>
      <c r="J41" s="217"/>
      <c r="K41" s="217"/>
      <c r="L41" s="208"/>
      <c r="M41" s="217"/>
      <c r="N41" s="217"/>
      <c r="O41" s="209"/>
      <c r="P41" s="210"/>
    </row>
    <row r="42" spans="1:16">
      <c r="A42" s="53"/>
      <c r="C42" t="s">
        <v>206</v>
      </c>
      <c r="E42" s="389">
        <v>21</v>
      </c>
      <c r="F42" s="299">
        <f t="array" ref="F42">[1]!CIP1072P435F2700PPL</f>
        <v>0</v>
      </c>
      <c r="G42" s="23"/>
      <c r="H42" s="7"/>
      <c r="I42" s="7"/>
      <c r="J42" s="7"/>
      <c r="K42" s="7"/>
      <c r="L42" s="22"/>
      <c r="M42" s="206">
        <f t="array" ref="M42">[1]!CIP1072P435F2700</f>
        <v>0</v>
      </c>
      <c r="N42" s="206">
        <f>SUM(H40:L42)</f>
        <v>0</v>
      </c>
      <c r="O42" s="211" t="str">
        <f>IF(M42=0," ",(N42-M42)/M42)</f>
        <v xml:space="preserve"> </v>
      </c>
      <c r="P42" s="210">
        <v>21</v>
      </c>
    </row>
    <row r="43" spans="1:16">
      <c r="A43" s="75" t="s">
        <v>212</v>
      </c>
      <c r="B43" s="226"/>
      <c r="C43" s="226"/>
      <c r="D43" s="226"/>
      <c r="E43" s="280">
        <v>22</v>
      </c>
      <c r="F43" s="299">
        <f>SUM(F39:F42)</f>
        <v>0</v>
      </c>
      <c r="G43" s="299">
        <f t="shared" ref="G43:L43" si="7">SUM(G39:G42)</f>
        <v>0</v>
      </c>
      <c r="H43" s="213">
        <f t="shared" si="7"/>
        <v>0</v>
      </c>
      <c r="I43" s="213">
        <f t="shared" si="7"/>
        <v>0</v>
      </c>
      <c r="J43" s="213">
        <f t="shared" si="7"/>
        <v>0</v>
      </c>
      <c r="K43" s="213">
        <f t="shared" si="7"/>
        <v>0</v>
      </c>
      <c r="L43" s="213">
        <f t="shared" si="7"/>
        <v>0</v>
      </c>
      <c r="M43" s="206">
        <f>SUM(M39:M42)</f>
        <v>0</v>
      </c>
      <c r="N43" s="206">
        <f>SUM(N39:N42)</f>
        <v>0</v>
      </c>
      <c r="O43" s="211" t="str">
        <f>IF(M43=0," ",(N43-M43)/M43)</f>
        <v xml:space="preserve"> </v>
      </c>
      <c r="P43" s="212">
        <v>22</v>
      </c>
    </row>
  </sheetData>
  <mergeCells count="5">
    <mergeCell ref="D1:F1"/>
    <mergeCell ref="J1:K1"/>
    <mergeCell ref="N1:O1"/>
    <mergeCell ref="D3:D4"/>
    <mergeCell ref="A4:C4"/>
  </mergeCells>
  <hyperlinks>
    <hyperlink ref="B7:D7" r:id="rId1" display="Structured English Immersion Project - 1071" xr:uid="{00000000-0004-0000-0500-000000000000}"/>
    <hyperlink ref="A7:D7" r:id="rId2" display="Structured English Immersion Project - 1071" xr:uid="{00000000-0004-0000-0500-000001000000}"/>
    <hyperlink ref="A28:D28" location="Pg4CompensatoryInstructionProj" display="Compensatory Instruction Project - 1072" xr:uid="{00000000-0004-0000-0500-000002000000}"/>
    <hyperlink ref="A7:F7" location="Pg4EnglishLanguageLearnerProj" display="Structured English Language Learner Immersion Project - 1071" xr:uid="{00000000-0004-0000-0500-000003000000}"/>
    <hyperlink ref="A4" location="Pg4EnglishLanguageLearnerProj" display="Instructions" xr:uid="{00000000-0004-0000-0500-000004000000}"/>
  </hyperlinks>
  <printOptions horizontalCentered="1" verticalCentered="1"/>
  <pageMargins left="0.75" right="0.5" top="0.25" bottom="0.25" header="0" footer="0"/>
  <pageSetup scale="75" orientation="landscape" r:id="rId3"/>
  <headerFooter>
    <oddFooter>&amp;L&amp;"Arial,Bold"Rev. 5/26 Arizona Department of Education and Auditor General&amp;R&amp;"Arial,Bold"Page 4 of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O55"/>
  <sheetViews>
    <sheetView showGridLines="0" workbookViewId="0">
      <selection sqref="A1:J1"/>
    </sheetView>
  </sheetViews>
  <sheetFormatPr defaultColWidth="9" defaultRowHeight="12.75"/>
  <cols>
    <col min="1" max="2" width="1.5703125" style="125" customWidth="1"/>
    <col min="3" max="3" width="42" style="125" customWidth="1"/>
    <col min="4" max="5" width="12.5703125" style="125" customWidth="1"/>
    <col min="6" max="6" width="9.5703125" style="125" customWidth="1"/>
    <col min="7" max="7" width="4.5703125" style="125" customWidth="1"/>
    <col min="8" max="8" width="27.28515625" style="125" customWidth="1"/>
    <col min="9" max="9" width="5.28515625" style="125" customWidth="1"/>
    <col min="10" max="10" width="12.5703125" style="125" customWidth="1"/>
    <col min="11" max="11" width="13.5703125" style="125" customWidth="1"/>
    <col min="12" max="12" width="12.5703125" style="125" customWidth="1"/>
    <col min="13" max="13" width="9.5703125" style="125" customWidth="1"/>
    <col min="14" max="19" width="9" style="125" customWidth="1"/>
    <col min="20" max="16384" width="9" style="125"/>
  </cols>
  <sheetData>
    <row r="1" spans="1:15" ht="23.25" customHeight="1">
      <c r="A1" s="484" t="str">
        <f>IF(OR(BudgetVersion="Proposed",BudgetVersion=""),"FY 2027 Summary of charter school proposed budget",IF(BudgetVersion="Adopted","FY 2027 Summary of charter school adopted budget","FY 2027 Summary of charter school revised budget"))</f>
        <v>FY 2027 Summary of charter school proposed budget</v>
      </c>
      <c r="B1" s="484"/>
      <c r="C1" s="484"/>
      <c r="D1" s="484"/>
      <c r="E1" s="484"/>
      <c r="F1" s="484"/>
      <c r="G1" s="484"/>
      <c r="H1" s="484"/>
      <c r="I1" s="484"/>
      <c r="J1" s="484"/>
      <c r="K1" s="3" t="s">
        <v>2</v>
      </c>
      <c r="L1" s="307" t="str">
        <f>CTD</f>
        <v>148760000</v>
      </c>
      <c r="N1" s="515" t="s">
        <v>460</v>
      </c>
      <c r="O1" s="515"/>
    </row>
    <row r="2" spans="1:15" ht="3.75" customHeight="1"/>
    <row r="3" spans="1:15" ht="12" customHeight="1">
      <c r="A3" s="285" t="s">
        <v>213</v>
      </c>
      <c r="B3" s="308"/>
      <c r="C3" s="308"/>
      <c r="D3" s="533" t="s">
        <v>52</v>
      </c>
      <c r="E3" s="534"/>
      <c r="F3" s="309" t="s">
        <v>58</v>
      </c>
      <c r="H3" s="524" t="str">
        <f>CONCATENATE("The budget of ",IF(Cover!$D$3=0,Cover!$D$1,(CONCATENATE(Cover!$D$1," (d.b.a. ",Cover!$D$3,")")))," for fiscal year 2027 was officially proposed by the Governing Board on ",TEXT(Cover!$F$21,"mmmm dd, yyyy"),". The complete budget may be reviewed by contacting ",Cover!$O$15," at ",Cover!$M$16," or ",Cover!$P$16,".")</f>
        <v>The budget of Harvest Power Community Development Group (d.b.a. Harvest Preparatory Academy) for fiscal year 2027 was officially proposed by the Governing Board on July 03, 2026. The complete budget may be reviewed by contacting  at  or .</v>
      </c>
      <c r="I3" s="525"/>
      <c r="J3" s="525"/>
      <c r="K3" s="525"/>
      <c r="L3" s="525"/>
      <c r="M3" s="526"/>
    </row>
    <row r="4" spans="1:15" ht="12" customHeight="1">
      <c r="A4" s="310"/>
      <c r="D4" s="271" t="s">
        <v>180</v>
      </c>
      <c r="E4" s="271" t="s">
        <v>181</v>
      </c>
      <c r="F4" s="311" t="s">
        <v>65</v>
      </c>
      <c r="H4" s="527"/>
      <c r="I4" s="528"/>
      <c r="J4" s="528"/>
      <c r="K4" s="528"/>
      <c r="L4" s="528"/>
      <c r="M4" s="529"/>
    </row>
    <row r="5" spans="1:15" ht="12" customHeight="1">
      <c r="A5" s="310" t="s">
        <v>68</v>
      </c>
      <c r="D5" s="201">
        <v>2026</v>
      </c>
      <c r="E5" s="201">
        <v>2027</v>
      </c>
      <c r="F5" s="312" t="s">
        <v>67</v>
      </c>
      <c r="H5" s="527"/>
      <c r="I5" s="528"/>
      <c r="J5" s="528"/>
      <c r="K5" s="528"/>
      <c r="L5" s="528"/>
      <c r="M5" s="529"/>
    </row>
    <row r="6" spans="1:15" ht="12" customHeight="1">
      <c r="A6" s="310"/>
      <c r="B6" s="125" t="s">
        <v>69</v>
      </c>
      <c r="D6" s="313">
        <f>SP1000P100F1000CY</f>
        <v>6180000</v>
      </c>
      <c r="E6" s="313">
        <f>SP1000P100F1000</f>
        <v>6700000</v>
      </c>
      <c r="F6" s="314">
        <f>IF(D6=0," ",(E6-D6)/D6)</f>
        <v>8.4000000000000005E-2</v>
      </c>
      <c r="H6" s="527"/>
      <c r="I6" s="528"/>
      <c r="J6" s="528"/>
      <c r="K6" s="528"/>
      <c r="L6" s="528"/>
      <c r="M6" s="529"/>
    </row>
    <row r="7" spans="1:15" ht="12" customHeight="1">
      <c r="A7" s="310"/>
      <c r="B7" s="125" t="s">
        <v>70</v>
      </c>
      <c r="D7" s="315"/>
      <c r="E7" s="316"/>
      <c r="F7" s="315"/>
      <c r="H7" s="530"/>
      <c r="I7" s="531"/>
      <c r="J7" s="531"/>
      <c r="K7" s="531"/>
      <c r="L7" s="531"/>
      <c r="M7" s="532"/>
    </row>
    <row r="8" spans="1:15" ht="12" customHeight="1">
      <c r="A8" s="310"/>
      <c r="C8" s="125" t="s">
        <v>214</v>
      </c>
      <c r="D8" s="313">
        <f>SP1000P100F2100CY</f>
        <v>830000</v>
      </c>
      <c r="E8" s="317">
        <f>SP1000P100F2100</f>
        <v>900000</v>
      </c>
      <c r="F8" s="211">
        <f>IF(D8=0," ",(E8-D8)/D8)</f>
        <v>8.4000000000000005E-2</v>
      </c>
      <c r="H8" s="318"/>
      <c r="I8" s="318"/>
      <c r="J8" s="318"/>
      <c r="K8" s="318"/>
    </row>
    <row r="9" spans="1:15" ht="12" customHeight="1">
      <c r="A9" s="310"/>
      <c r="C9" s="125" t="s">
        <v>215</v>
      </c>
      <c r="D9" s="319">
        <f>SP1000P100F2200CY</f>
        <v>648000</v>
      </c>
      <c r="E9" s="319">
        <f>SP1000P100F2200</f>
        <v>712000</v>
      </c>
      <c r="F9" s="209">
        <f>IF(D9=0," ",(E9-D9)/D9)</f>
        <v>9.9000000000000005E-2</v>
      </c>
      <c r="H9" s="316"/>
      <c r="I9" s="308"/>
      <c r="J9" s="320"/>
      <c r="K9" s="535" t="s">
        <v>52</v>
      </c>
      <c r="L9" s="536"/>
      <c r="M9" s="309" t="s">
        <v>58</v>
      </c>
    </row>
    <row r="10" spans="1:15" ht="12" customHeight="1">
      <c r="A10" s="310"/>
      <c r="C10" s="125" t="s">
        <v>216</v>
      </c>
      <c r="D10" s="319">
        <f>SP1000P100F2300CY</f>
        <v>110000</v>
      </c>
      <c r="E10" s="319">
        <f>SP1000P100F2300</f>
        <v>120000</v>
      </c>
      <c r="F10" s="314">
        <f t="shared" ref="F10:F21" si="0">IF(D10=0," ",(E10-D10)/D10)</f>
        <v>9.0999999999999998E-2</v>
      </c>
      <c r="H10" s="321" t="s">
        <v>217</v>
      </c>
      <c r="I10" s="322"/>
      <c r="J10" s="323"/>
      <c r="K10" s="271" t="s">
        <v>180</v>
      </c>
      <c r="L10" s="271" t="s">
        <v>181</v>
      </c>
      <c r="M10" s="311" t="s">
        <v>65</v>
      </c>
    </row>
    <row r="11" spans="1:15" ht="12" customHeight="1">
      <c r="A11" s="310"/>
      <c r="C11" s="125" t="s">
        <v>218</v>
      </c>
      <c r="D11" s="319">
        <f>SP1000P100F2400CY</f>
        <v>1485000</v>
      </c>
      <c r="E11" s="319">
        <f>SP1000P100F2400</f>
        <v>1565000</v>
      </c>
      <c r="F11" s="314">
        <f t="shared" si="0"/>
        <v>5.3999999999999999E-2</v>
      </c>
      <c r="H11" s="324"/>
      <c r="I11" s="325"/>
      <c r="J11" s="326"/>
      <c r="K11" s="201">
        <v>2026</v>
      </c>
      <c r="L11" s="201">
        <v>2027</v>
      </c>
      <c r="M11" s="312" t="s">
        <v>67</v>
      </c>
    </row>
    <row r="12" spans="1:15" ht="12" customHeight="1">
      <c r="A12" s="310"/>
      <c r="C12" s="125" t="s">
        <v>219</v>
      </c>
      <c r="D12" s="319">
        <f>SP1000P100F2500CY</f>
        <v>1123000</v>
      </c>
      <c r="E12" s="319">
        <f>SP1000P100F2500</f>
        <v>1193000</v>
      </c>
      <c r="F12" s="314">
        <f t="shared" si="0"/>
        <v>6.2E-2</v>
      </c>
      <c r="H12" s="82" t="s">
        <v>103</v>
      </c>
      <c r="I12" s="3"/>
      <c r="J12" s="91"/>
      <c r="K12" s="313">
        <f>'Page 2'!M5</f>
        <v>423000</v>
      </c>
      <c r="L12" s="313">
        <f>'Page 2'!N5</f>
        <v>423000</v>
      </c>
      <c r="M12" s="314">
        <f t="shared" ref="M12:M19" si="1">IF(K12=0," ",(L12-K12)/K12)</f>
        <v>0</v>
      </c>
    </row>
    <row r="13" spans="1:15" ht="12" customHeight="1">
      <c r="A13" s="310"/>
      <c r="C13" s="125" t="s">
        <v>220</v>
      </c>
      <c r="D13" s="319">
        <f>SP1000P100F2600CY</f>
        <v>2587000</v>
      </c>
      <c r="E13" s="319">
        <f>SP1000P100F2600</f>
        <v>2850000</v>
      </c>
      <c r="F13" s="314">
        <f t="shared" si="0"/>
        <v>0.10199999999999999</v>
      </c>
      <c r="H13" s="82" t="s">
        <v>105</v>
      </c>
      <c r="I13" s="3"/>
      <c r="J13" s="91"/>
      <c r="K13" s="313">
        <f>P200GiftedEducationCY</f>
        <v>0</v>
      </c>
      <c r="L13" s="319">
        <f>P200GiftedEducation</f>
        <v>0</v>
      </c>
      <c r="M13" s="314" t="str">
        <f t="shared" si="1"/>
        <v xml:space="preserve"> </v>
      </c>
    </row>
    <row r="14" spans="1:15" ht="12" customHeight="1">
      <c r="A14" s="310"/>
      <c r="C14" s="125" t="s">
        <v>221</v>
      </c>
      <c r="D14" s="319">
        <f>SP1000P100F2900CY</f>
        <v>0</v>
      </c>
      <c r="E14" s="319">
        <f>SP1000P100F2900</f>
        <v>0</v>
      </c>
      <c r="F14" s="314" t="str">
        <f t="shared" si="0"/>
        <v xml:space="preserve"> </v>
      </c>
      <c r="H14" s="82" t="s">
        <v>107</v>
      </c>
      <c r="I14" s="3"/>
      <c r="J14" s="91"/>
      <c r="K14" s="313">
        <f>P200ELLIncrementalCostsCY</f>
        <v>0</v>
      </c>
      <c r="L14" s="319">
        <f>P200ELLIncrementalCosts</f>
        <v>0</v>
      </c>
      <c r="M14" s="314" t="str">
        <f t="shared" si="1"/>
        <v xml:space="preserve"> </v>
      </c>
    </row>
    <row r="15" spans="1:15" ht="12" customHeight="1">
      <c r="A15" s="310"/>
      <c r="B15" s="125" t="s">
        <v>78</v>
      </c>
      <c r="D15" s="319">
        <f>SP1000P100F3000CY</f>
        <v>1000000</v>
      </c>
      <c r="E15" s="319">
        <f>SP1000P100F3000</f>
        <v>1050000</v>
      </c>
      <c r="F15" s="314">
        <f t="shared" si="0"/>
        <v>0.05</v>
      </c>
      <c r="H15" s="82" t="s">
        <v>109</v>
      </c>
      <c r="I15" s="3"/>
      <c r="J15" s="91"/>
      <c r="K15" s="319">
        <f>P200ELLCompensatoryInstructionCY</f>
        <v>0</v>
      </c>
      <c r="L15" s="319">
        <f>P200ELLCompensatoryInstruction</f>
        <v>0</v>
      </c>
      <c r="M15" s="314" t="str">
        <f t="shared" si="1"/>
        <v xml:space="preserve"> </v>
      </c>
    </row>
    <row r="16" spans="1:15" ht="12" customHeight="1">
      <c r="A16" s="310"/>
      <c r="B16" s="125" t="s">
        <v>79</v>
      </c>
      <c r="D16" s="319">
        <f>SP1000P100F4000CY</f>
        <v>0</v>
      </c>
      <c r="E16" s="319">
        <f>SP1000P100F4000</f>
        <v>0</v>
      </c>
      <c r="F16" s="314" t="str">
        <f t="shared" si="0"/>
        <v xml:space="preserve"> </v>
      </c>
      <c r="H16" s="82" t="s">
        <v>111</v>
      </c>
      <c r="I16" s="3"/>
      <c r="J16" s="91"/>
      <c r="K16" s="319">
        <f>P200RemedialEducationCY</f>
        <v>0</v>
      </c>
      <c r="L16" s="319">
        <f>P200RemedialEducation</f>
        <v>0</v>
      </c>
      <c r="M16" s="314" t="str">
        <f t="shared" si="1"/>
        <v xml:space="preserve"> </v>
      </c>
    </row>
    <row r="17" spans="1:13" ht="12" customHeight="1">
      <c r="A17" s="310"/>
      <c r="B17" s="125" t="s">
        <v>80</v>
      </c>
      <c r="D17" s="319">
        <f>SP1000P100F5000CY</f>
        <v>688516</v>
      </c>
      <c r="E17" s="319">
        <f>SP1000P100F5000</f>
        <v>688516</v>
      </c>
      <c r="F17" s="314">
        <f t="shared" si="0"/>
        <v>0</v>
      </c>
      <c r="H17" s="82" t="s">
        <v>113</v>
      </c>
      <c r="I17" s="3"/>
      <c r="J17" s="91"/>
      <c r="K17" s="319">
        <f>P200VocationalandTechnologicalEdCY</f>
        <v>0</v>
      </c>
      <c r="L17" s="319">
        <f>P200VocationalandTechnologicalEd</f>
        <v>0</v>
      </c>
      <c r="M17" s="314" t="str">
        <f t="shared" si="1"/>
        <v xml:space="preserve"> </v>
      </c>
    </row>
    <row r="18" spans="1:13" ht="12" customHeight="1">
      <c r="A18" s="310" t="s">
        <v>81</v>
      </c>
      <c r="D18" s="319">
        <f>SP1000P610CY</f>
        <v>0</v>
      </c>
      <c r="E18" s="319">
        <f>SP1000P610</f>
        <v>0</v>
      </c>
      <c r="F18" s="314" t="str">
        <f t="shared" si="0"/>
        <v xml:space="preserve"> </v>
      </c>
      <c r="H18" s="82" t="s">
        <v>115</v>
      </c>
      <c r="I18" s="3"/>
      <c r="J18" s="91"/>
      <c r="K18" s="327">
        <f>P200CareerEducationCY</f>
        <v>0</v>
      </c>
      <c r="L18" s="327">
        <f>P200CareerEducation</f>
        <v>0</v>
      </c>
      <c r="M18" s="314" t="str">
        <f t="shared" si="1"/>
        <v xml:space="preserve"> </v>
      </c>
    </row>
    <row r="19" spans="1:13" ht="12" customHeight="1">
      <c r="A19" s="310" t="s">
        <v>82</v>
      </c>
      <c r="D19" s="319">
        <f>SP1000P620CY</f>
        <v>0</v>
      </c>
      <c r="E19" s="319">
        <f>SP1000P620</f>
        <v>0</v>
      </c>
      <c r="F19" s="314" t="str">
        <f t="shared" si="0"/>
        <v xml:space="preserve"> </v>
      </c>
      <c r="H19" s="537" t="s">
        <v>222</v>
      </c>
      <c r="I19" s="505"/>
      <c r="J19" s="505"/>
      <c r="K19" s="319">
        <f>SUM(K12:K18)</f>
        <v>423000</v>
      </c>
      <c r="L19" s="319">
        <f>SUM(L12:L18)</f>
        <v>423000</v>
      </c>
      <c r="M19" s="219">
        <f t="shared" si="1"/>
        <v>0</v>
      </c>
    </row>
    <row r="20" spans="1:13" ht="12" customHeight="1">
      <c r="A20" s="310" t="s">
        <v>83</v>
      </c>
      <c r="D20" s="319">
        <f>SP1000P630700800900CY</f>
        <v>0</v>
      </c>
      <c r="E20" s="319">
        <f>SP1000P630700800900</f>
        <v>0</v>
      </c>
      <c r="F20" s="314" t="str">
        <f t="shared" si="0"/>
        <v xml:space="preserve"> </v>
      </c>
      <c r="H20" s="328"/>
      <c r="I20" s="328"/>
      <c r="K20" s="329"/>
      <c r="L20" s="329"/>
      <c r="M20" s="221"/>
    </row>
    <row r="21" spans="1:13" ht="12" customHeight="1">
      <c r="A21" s="330"/>
      <c r="B21" s="331" t="s">
        <v>223</v>
      </c>
      <c r="C21" s="326"/>
      <c r="D21" s="319">
        <f>SUM(D6:D20)</f>
        <v>14651516</v>
      </c>
      <c r="E21" s="319">
        <f>SUM(E6:E20)</f>
        <v>15778516</v>
      </c>
      <c r="F21" s="314">
        <f t="shared" si="0"/>
        <v>7.6999999999999999E-2</v>
      </c>
      <c r="H21" s="520" t="s">
        <v>224</v>
      </c>
      <c r="I21" s="521"/>
      <c r="J21" s="521"/>
      <c r="K21" s="521"/>
      <c r="L21" s="522"/>
      <c r="M21" s="221"/>
    </row>
    <row r="22" spans="1:13" ht="12" customHeight="1">
      <c r="A22" s="310" t="s">
        <v>85</v>
      </c>
      <c r="D22" s="315"/>
      <c r="E22" s="316"/>
      <c r="F22" s="315"/>
      <c r="H22" s="310"/>
      <c r="J22" s="539" t="s">
        <v>52</v>
      </c>
      <c r="K22" s="540"/>
      <c r="L22" s="311" t="s">
        <v>58</v>
      </c>
      <c r="M22" s="221"/>
    </row>
    <row r="23" spans="1:13" ht="12" customHeight="1">
      <c r="A23" s="310"/>
      <c r="B23" s="125" t="s">
        <v>69</v>
      </c>
      <c r="D23" s="332">
        <f>SP1000P200F1000CY</f>
        <v>346000</v>
      </c>
      <c r="E23" s="333">
        <f>SP1000P200F1000</f>
        <v>346000</v>
      </c>
      <c r="F23" s="211">
        <f>IF(D23=0," ",(E23-D23)/D23)</f>
        <v>0</v>
      </c>
      <c r="H23" s="310"/>
      <c r="J23" s="271" t="s">
        <v>180</v>
      </c>
      <c r="K23" s="271" t="s">
        <v>181</v>
      </c>
      <c r="L23" s="311" t="s">
        <v>65</v>
      </c>
      <c r="M23" s="221"/>
    </row>
    <row r="24" spans="1:13" ht="12" customHeight="1">
      <c r="A24" s="310"/>
      <c r="B24" s="125" t="s">
        <v>70</v>
      </c>
      <c r="D24" s="315"/>
      <c r="E24" s="315"/>
      <c r="F24" s="209"/>
      <c r="H24" s="334"/>
      <c r="J24" s="201">
        <v>2026</v>
      </c>
      <c r="K24" s="201">
        <v>2027</v>
      </c>
      <c r="L24" s="312" t="s">
        <v>67</v>
      </c>
      <c r="M24" s="221"/>
    </row>
    <row r="25" spans="1:13" ht="12" customHeight="1">
      <c r="A25" s="310"/>
      <c r="C25" s="125" t="s">
        <v>214</v>
      </c>
      <c r="D25" s="313">
        <f>SP1000P200F2100CY</f>
        <v>77000</v>
      </c>
      <c r="E25" s="313">
        <f>SP1000P200F2100</f>
        <v>77000</v>
      </c>
      <c r="F25" s="211">
        <f t="shared" ref="F25:F41" si="2">IF(D25=0," ",(E25-D25)/D25)</f>
        <v>0</v>
      </c>
      <c r="H25" s="335" t="s">
        <v>225</v>
      </c>
      <c r="I25" s="336"/>
      <c r="J25" s="313">
        <f>SP1000TotalCY</f>
        <v>16119516</v>
      </c>
      <c r="K25" s="313">
        <f>SP1000Total</f>
        <v>16306869</v>
      </c>
      <c r="L25" s="219">
        <f>IF(J25=0," ",(K25-J25)/J25)</f>
        <v>1.2E-2</v>
      </c>
      <c r="M25" s="221"/>
    </row>
    <row r="26" spans="1:13" ht="12" customHeight="1">
      <c r="A26" s="310"/>
      <c r="C26" s="125" t="s">
        <v>215</v>
      </c>
      <c r="D26" s="313">
        <f>SP1000P200F2200CY</f>
        <v>0</v>
      </c>
      <c r="E26" s="313">
        <f>SP1000P200F2200</f>
        <v>0</v>
      </c>
      <c r="F26" s="209" t="str">
        <f t="shared" si="2"/>
        <v xml:space="preserve"> </v>
      </c>
      <c r="H26" s="75" t="s">
        <v>226</v>
      </c>
      <c r="I26" s="336"/>
      <c r="J26" s="319">
        <f>SP1000ClassSiteProjCY</f>
        <v>1500000</v>
      </c>
      <c r="K26" s="319">
        <f>SP1000ClassSiteProj</f>
        <v>1800000</v>
      </c>
      <c r="L26" s="219">
        <f t="shared" ref="L26:L33" si="3">IF(J26=0," ",(K26-J26)/J26)</f>
        <v>0.2</v>
      </c>
      <c r="M26" s="221"/>
    </row>
    <row r="27" spans="1:13" ht="12" customHeight="1">
      <c r="A27" s="310"/>
      <c r="C27" s="125" t="s">
        <v>216</v>
      </c>
      <c r="D27" s="313">
        <f>SP1000P200F2300CY</f>
        <v>0</v>
      </c>
      <c r="E27" s="313">
        <f>SP1000P200F2300</f>
        <v>0</v>
      </c>
      <c r="F27" s="314" t="str">
        <f t="shared" si="2"/>
        <v xml:space="preserve"> </v>
      </c>
      <c r="H27" s="75" t="s">
        <v>227</v>
      </c>
      <c r="I27" s="336"/>
      <c r="J27" s="319">
        <f>SP1000InstrImpProjCY</f>
        <v>120000</v>
      </c>
      <c r="K27" s="319">
        <f>SP1000InstrImpProj</f>
        <v>140000</v>
      </c>
      <c r="L27" s="219">
        <f t="shared" si="3"/>
        <v>0.16700000000000001</v>
      </c>
      <c r="M27" s="221"/>
    </row>
    <row r="28" spans="1:13" ht="12" customHeight="1">
      <c r="A28" s="310"/>
      <c r="C28" s="125" t="s">
        <v>218</v>
      </c>
      <c r="D28" s="313">
        <f>SP1000P200F2400CY</f>
        <v>0</v>
      </c>
      <c r="E28" s="313">
        <f>SP1000P200F2400</f>
        <v>0</v>
      </c>
      <c r="F28" s="314" t="str">
        <f t="shared" si="2"/>
        <v xml:space="preserve"> </v>
      </c>
      <c r="H28" s="75" t="s">
        <v>228</v>
      </c>
      <c r="I28" s="336"/>
      <c r="J28" s="319">
        <f>SP1000StruEngImmProjCY</f>
        <v>0</v>
      </c>
      <c r="K28" s="319">
        <f>SP1000StruEngImmProj</f>
        <v>0</v>
      </c>
      <c r="L28" s="219" t="str">
        <f t="shared" si="3"/>
        <v xml:space="preserve"> </v>
      </c>
      <c r="M28" s="221"/>
    </row>
    <row r="29" spans="1:13" ht="12" customHeight="1">
      <c r="A29" s="310"/>
      <c r="C29" s="125" t="s">
        <v>219</v>
      </c>
      <c r="D29" s="313">
        <f>SP1000P200F2500CY</f>
        <v>0</v>
      </c>
      <c r="E29" s="313">
        <f>SP1000P200F2500</f>
        <v>0</v>
      </c>
      <c r="F29" s="314" t="str">
        <f t="shared" si="2"/>
        <v xml:space="preserve"> </v>
      </c>
      <c r="H29" s="75" t="s">
        <v>229</v>
      </c>
      <c r="I29" s="336"/>
      <c r="J29" s="319">
        <f>SP1000CompInstrProjCY</f>
        <v>0</v>
      </c>
      <c r="K29" s="319">
        <f>SP1000CompInstrProj</f>
        <v>0</v>
      </c>
      <c r="L29" s="219" t="str">
        <f t="shared" si="3"/>
        <v xml:space="preserve"> </v>
      </c>
      <c r="M29" s="221"/>
    </row>
    <row r="30" spans="1:13" ht="12" customHeight="1">
      <c r="A30" s="310"/>
      <c r="C30" s="125" t="s">
        <v>220</v>
      </c>
      <c r="D30" s="313">
        <f>SP1000P200F2600CY</f>
        <v>0</v>
      </c>
      <c r="E30" s="313">
        <f>SP1000P200F2600</f>
        <v>0</v>
      </c>
      <c r="F30" s="314" t="str">
        <f t="shared" si="2"/>
        <v xml:space="preserve"> </v>
      </c>
      <c r="H30" s="75" t="s">
        <v>230</v>
      </c>
      <c r="I30" s="336"/>
      <c r="J30" s="319">
        <f>TotalFederalProjectsCY</f>
        <v>1295000</v>
      </c>
      <c r="K30" s="319">
        <f>TotalFederalProjects</f>
        <v>1445000</v>
      </c>
      <c r="L30" s="219">
        <f t="shared" si="3"/>
        <v>0.11600000000000001</v>
      </c>
      <c r="M30" s="221"/>
    </row>
    <row r="31" spans="1:13" ht="12" customHeight="1">
      <c r="A31" s="310"/>
      <c r="C31" s="125" t="s">
        <v>221</v>
      </c>
      <c r="D31" s="313">
        <f>SP1000P200F2900CY</f>
        <v>0</v>
      </c>
      <c r="E31" s="313">
        <f>SP1000P200F2900</f>
        <v>0</v>
      </c>
      <c r="F31" s="314" t="str">
        <f t="shared" si="2"/>
        <v xml:space="preserve"> </v>
      </c>
      <c r="H31" s="75" t="s">
        <v>231</v>
      </c>
      <c r="I31" s="336"/>
      <c r="J31" s="319">
        <f>TotalStateProjectsCY</f>
        <v>0</v>
      </c>
      <c r="K31" s="319">
        <f>TotalStateProjects</f>
        <v>0</v>
      </c>
      <c r="L31" s="219" t="str">
        <f t="shared" si="3"/>
        <v xml:space="preserve"> </v>
      </c>
      <c r="M31" s="221"/>
    </row>
    <row r="32" spans="1:13" ht="12" customHeight="1">
      <c r="A32" s="310"/>
      <c r="B32" s="125" t="s">
        <v>78</v>
      </c>
      <c r="D32" s="313">
        <f>SP1000P200F3000CY</f>
        <v>0</v>
      </c>
      <c r="E32" s="313">
        <f>SP1000P200F3000</f>
        <v>0</v>
      </c>
      <c r="F32" s="314" t="str">
        <f t="shared" si="2"/>
        <v xml:space="preserve"> </v>
      </c>
      <c r="H32" s="75" t="s">
        <v>169</v>
      </c>
      <c r="I32" s="336"/>
      <c r="J32" s="319">
        <f>TotalCapitalAcquisitionsCY</f>
        <v>700000</v>
      </c>
      <c r="K32" s="319">
        <f>TotalCapitalAcquisitions</f>
        <v>750000</v>
      </c>
      <c r="L32" s="219">
        <f t="shared" si="3"/>
        <v>7.0999999999999994E-2</v>
      </c>
      <c r="M32" s="221"/>
    </row>
    <row r="33" spans="1:14" ht="12" customHeight="1">
      <c r="A33" s="310"/>
      <c r="B33" s="125" t="s">
        <v>79</v>
      </c>
      <c r="D33" s="313">
        <f>SP1000P200F4000CY</f>
        <v>0</v>
      </c>
      <c r="E33" s="313">
        <f>SP1000P200F4000</f>
        <v>0</v>
      </c>
      <c r="F33" s="314" t="str">
        <f t="shared" si="2"/>
        <v xml:space="preserve"> </v>
      </c>
      <c r="H33" s="75" t="s">
        <v>232</v>
      </c>
      <c r="I33" s="336"/>
      <c r="J33" s="319">
        <f>SUM(J25:J32)</f>
        <v>19734516</v>
      </c>
      <c r="K33" s="319">
        <f>SUM(K25:K32)</f>
        <v>20441869</v>
      </c>
      <c r="L33" s="219">
        <f t="shared" si="3"/>
        <v>3.5999999999999997E-2</v>
      </c>
    </row>
    <row r="34" spans="1:14" ht="12" customHeight="1">
      <c r="A34" s="310"/>
      <c r="B34" s="125" t="s">
        <v>80</v>
      </c>
      <c r="D34" s="313">
        <f>SP1000P200F5000CY</f>
        <v>0</v>
      </c>
      <c r="E34" s="313">
        <f>SP1000P200F5000</f>
        <v>0</v>
      </c>
      <c r="F34" s="314" t="str">
        <f t="shared" si="2"/>
        <v xml:space="preserve"> </v>
      </c>
    </row>
    <row r="35" spans="1:14" ht="12" customHeight="1">
      <c r="A35" s="310"/>
      <c r="B35" s="125" t="s">
        <v>233</v>
      </c>
      <c r="C35" s="323"/>
      <c r="D35" s="327">
        <f>SUM(D23:D34)</f>
        <v>423000</v>
      </c>
      <c r="E35" s="327">
        <f>SUM(E23:E34)</f>
        <v>423000</v>
      </c>
      <c r="F35" s="314">
        <f t="shared" si="2"/>
        <v>0</v>
      </c>
      <c r="H35" s="523" t="s">
        <v>234</v>
      </c>
      <c r="I35" s="523"/>
      <c r="J35" s="523"/>
      <c r="K35" s="523"/>
      <c r="L35" s="523"/>
      <c r="M35" s="541" t="str">
        <f>IF(L37&lt;1,"Enter average salary on the budget Cover","")</f>
        <v/>
      </c>
      <c r="N35" s="337"/>
    </row>
    <row r="36" spans="1:14" ht="0.75" customHeight="1">
      <c r="A36" s="330" t="s">
        <v>235</v>
      </c>
      <c r="B36" s="331"/>
      <c r="C36" s="326"/>
      <c r="D36" s="313"/>
      <c r="E36" s="313"/>
      <c r="F36" s="211"/>
      <c r="J36" s="338"/>
      <c r="K36" s="338"/>
      <c r="L36" s="338"/>
      <c r="M36" s="541"/>
      <c r="N36" s="337"/>
    </row>
    <row r="37" spans="1:14" ht="12" customHeight="1">
      <c r="A37" s="335" t="s">
        <v>88</v>
      </c>
      <c r="B37" s="336"/>
      <c r="C37" s="339"/>
      <c r="D37" s="319">
        <f>SP1000P400CY</f>
        <v>1045000</v>
      </c>
      <c r="E37" s="319">
        <f>SP1000P400</f>
        <v>0</v>
      </c>
      <c r="F37" s="219">
        <f t="shared" si="2"/>
        <v>-1</v>
      </c>
      <c r="H37" s="538" t="s">
        <v>479</v>
      </c>
      <c r="I37" s="538"/>
      <c r="J37" s="538"/>
      <c r="K37" s="538"/>
      <c r="L37" s="213">
        <f>BudgetYearSalary</f>
        <v>46168</v>
      </c>
      <c r="M37" s="541"/>
      <c r="N37" s="337"/>
    </row>
    <row r="38" spans="1:14" ht="12" customHeight="1">
      <c r="A38" s="335" t="s">
        <v>89</v>
      </c>
      <c r="B38" s="336"/>
      <c r="C38" s="339"/>
      <c r="D38" s="319">
        <f>SP1000P530CY</f>
        <v>0</v>
      </c>
      <c r="E38" s="319">
        <f>SP1000P530</f>
        <v>0</v>
      </c>
      <c r="F38" s="219" t="str">
        <f t="shared" si="2"/>
        <v xml:space="preserve"> </v>
      </c>
      <c r="H38" s="538" t="s">
        <v>480</v>
      </c>
      <c r="I38" s="538"/>
      <c r="J38" s="538"/>
      <c r="K38" s="538"/>
      <c r="L38" s="213">
        <f>PriorYearSalary</f>
        <v>45168</v>
      </c>
      <c r="M38" s="541"/>
      <c r="N38" s="337"/>
    </row>
    <row r="39" spans="1:14" ht="12" customHeight="1">
      <c r="A39" s="335" t="s">
        <v>236</v>
      </c>
      <c r="B39" s="336"/>
      <c r="C39" s="339"/>
      <c r="D39" s="319">
        <f>SP1000P540CY</f>
        <v>0</v>
      </c>
      <c r="E39" s="319">
        <f>SP1000P540</f>
        <v>0</v>
      </c>
      <c r="F39" s="219" t="str">
        <f t="shared" si="2"/>
        <v xml:space="preserve"> </v>
      </c>
      <c r="H39" s="538" t="s">
        <v>481</v>
      </c>
      <c r="I39" s="538"/>
      <c r="J39" s="538"/>
      <c r="K39" s="538"/>
      <c r="L39" s="213">
        <f>SalaryIncreaseFromPriorYear</f>
        <v>1000</v>
      </c>
      <c r="M39" s="541"/>
      <c r="N39" s="337"/>
    </row>
    <row r="40" spans="1:14" ht="12" customHeight="1">
      <c r="A40" s="330" t="s">
        <v>91</v>
      </c>
      <c r="B40" s="331"/>
      <c r="C40" s="326"/>
      <c r="D40" s="319">
        <f>SP1000P550CY</f>
        <v>0</v>
      </c>
      <c r="E40" s="319">
        <f>SP1000P550</f>
        <v>105353</v>
      </c>
      <c r="F40" s="219" t="str">
        <f t="shared" si="2"/>
        <v xml:space="preserve"> </v>
      </c>
      <c r="H40" s="538" t="s">
        <v>237</v>
      </c>
      <c r="I40" s="538"/>
      <c r="J40" s="538"/>
      <c r="K40" s="538"/>
      <c r="L40" s="303">
        <f>SalaryPercentageIncrease</f>
        <v>2.1999999999999999E-2</v>
      </c>
      <c r="M40" s="541"/>
      <c r="N40" s="337"/>
    </row>
    <row r="41" spans="1:14" ht="12" customHeight="1">
      <c r="A41" s="330"/>
      <c r="B41" s="331"/>
      <c r="C41" s="326" t="s">
        <v>222</v>
      </c>
      <c r="D41" s="313">
        <f>SUM(D35:D40)+D21</f>
        <v>16119516</v>
      </c>
      <c r="E41" s="313">
        <f>SUM(E35:E40)+E21</f>
        <v>16306869</v>
      </c>
      <c r="F41" s="219">
        <f t="shared" si="2"/>
        <v>1.2E-2</v>
      </c>
      <c r="H41" s="542" t="str">
        <f>IF(AverageSalaryCalculationComment&lt;&gt;"",AverageSalaryCalculationComment,"")</f>
        <v>Comments on average salary calculation (optional):</v>
      </c>
      <c r="I41" s="543"/>
      <c r="J41" s="543"/>
      <c r="K41" s="543"/>
      <c r="L41" s="544"/>
      <c r="M41" s="541"/>
    </row>
    <row r="42" spans="1:14" ht="12" customHeight="1">
      <c r="D42" s="329"/>
      <c r="E42" s="329"/>
      <c r="F42" s="221"/>
      <c r="H42" s="545"/>
      <c r="I42" s="546"/>
      <c r="J42" s="546"/>
      <c r="K42" s="546"/>
      <c r="L42" s="547"/>
      <c r="M42" s="541"/>
    </row>
    <row r="43" spans="1:14" ht="12" customHeight="1">
      <c r="H43" s="545"/>
      <c r="I43" s="546"/>
      <c r="J43" s="546"/>
      <c r="K43" s="546"/>
      <c r="L43" s="547"/>
      <c r="M43" s="541"/>
    </row>
    <row r="44" spans="1:14" ht="12" customHeight="1">
      <c r="H44" s="545"/>
      <c r="I44" s="546"/>
      <c r="J44" s="546"/>
      <c r="K44" s="546"/>
      <c r="L44" s="547"/>
      <c r="M44" s="541"/>
    </row>
    <row r="45" spans="1:14" ht="12" customHeight="1">
      <c r="H45" s="545"/>
      <c r="I45" s="546"/>
      <c r="J45" s="546"/>
      <c r="K45" s="546"/>
      <c r="L45" s="547"/>
      <c r="M45" s="541"/>
    </row>
    <row r="46" spans="1:14" ht="12" customHeight="1">
      <c r="H46" s="545"/>
      <c r="I46" s="546"/>
      <c r="J46" s="546"/>
      <c r="K46" s="546"/>
      <c r="L46" s="547"/>
      <c r="M46" s="340"/>
    </row>
    <row r="47" spans="1:14" ht="12" customHeight="1">
      <c r="H47" s="548"/>
      <c r="I47" s="549"/>
      <c r="J47" s="549"/>
      <c r="K47" s="549"/>
      <c r="L47" s="550"/>
      <c r="M47" s="340"/>
    </row>
    <row r="48" spans="1:14" ht="12.75" customHeight="1"/>
    <row r="49" spans="8:8" ht="12.75" customHeight="1"/>
    <row r="50" spans="8:8" ht="12.75" customHeight="1"/>
    <row r="51" spans="8:8" ht="12.75" customHeight="1"/>
    <row r="52" spans="8:8" ht="12.75" customHeight="1"/>
    <row r="53" spans="8:8" ht="12.75" customHeight="1">
      <c r="H53" s="341"/>
    </row>
    <row r="54" spans="8:8" ht="12.75" customHeight="1"/>
    <row r="55" spans="8:8" ht="12.75" customHeight="1"/>
  </sheetData>
  <mergeCells count="15">
    <mergeCell ref="H39:K39"/>
    <mergeCell ref="H40:K40"/>
    <mergeCell ref="J22:K22"/>
    <mergeCell ref="H37:K37"/>
    <mergeCell ref="M35:M45"/>
    <mergeCell ref="H38:K38"/>
    <mergeCell ref="H41:L47"/>
    <mergeCell ref="N1:O1"/>
    <mergeCell ref="H21:L21"/>
    <mergeCell ref="H35:L35"/>
    <mergeCell ref="A1:J1"/>
    <mergeCell ref="H3:M7"/>
    <mergeCell ref="D3:E3"/>
    <mergeCell ref="K9:L9"/>
    <mergeCell ref="H19:J19"/>
  </mergeCells>
  <hyperlinks>
    <hyperlink ref="N1" location="BudgetSummary" display="Instructions" xr:uid="{00000000-0004-0000-0600-000000000000}"/>
  </hyperlinks>
  <printOptions horizontalCentered="1" verticalCentered="1"/>
  <pageMargins left="0.75" right="0.5" top="0.25" bottom="0.25" header="0" footer="0"/>
  <pageSetup scale="75" orientation="landscape" r:id="rId1"/>
  <headerFooter>
    <oddFooter>&amp;L&amp;"Arial,Bold"Rev.5/26 Arizona Department of Education and Auditor General&amp;R&amp;"Arial,Bold"Budget Summary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5F979-B4DE-483C-9FD4-50485BCB48AD}">
  <sheetPr codeName="Sheet7">
    <pageSetUpPr fitToPage="1"/>
  </sheetPr>
  <dimension ref="A1:H36"/>
  <sheetViews>
    <sheetView showGridLines="0" workbookViewId="0">
      <selection activeCell="C26" sqref="C26"/>
    </sheetView>
  </sheetViews>
  <sheetFormatPr defaultColWidth="8" defaultRowHeight="12.75"/>
  <cols>
    <col min="1" max="1" width="13.5703125" customWidth="1"/>
    <col min="2" max="2" width="107.28515625" customWidth="1"/>
    <col min="3" max="5" width="15.5703125" customWidth="1"/>
    <col min="6" max="6" width="19.28515625" customWidth="1"/>
    <col min="7" max="7" width="15.5703125" customWidth="1"/>
    <col min="8" max="8" width="17.5703125" customWidth="1"/>
    <col min="9" max="9" width="8" customWidth="1"/>
  </cols>
  <sheetData>
    <row r="1" spans="1:8" s="411" customFormat="1">
      <c r="A1" s="410" t="s">
        <v>0</v>
      </c>
      <c r="B1" s="431" t="str">
        <f>CharterName</f>
        <v>Harvest Power Community Development Group</v>
      </c>
      <c r="D1" s="410" t="s">
        <v>1</v>
      </c>
      <c r="E1" s="432" t="str">
        <f>Cover!M1</f>
        <v>Yuma</v>
      </c>
      <c r="F1" s="412"/>
      <c r="G1" s="410" t="s">
        <v>2</v>
      </c>
      <c r="H1" s="413" t="str">
        <f>CTD</f>
        <v>148760000</v>
      </c>
    </row>
    <row r="2" spans="1:8" s="411" customFormat="1">
      <c r="B2" s="410"/>
      <c r="C2" s="414"/>
      <c r="D2" s="414"/>
      <c r="E2" s="414"/>
      <c r="G2" s="410"/>
      <c r="H2" s="414"/>
    </row>
    <row r="3" spans="1:8" s="415" customFormat="1" ht="25.5" customHeight="1">
      <c r="A3" s="551" t="s">
        <v>488</v>
      </c>
      <c r="B3" s="551"/>
      <c r="C3" s="551"/>
      <c r="D3" s="551"/>
      <c r="E3" s="551"/>
      <c r="F3" s="551"/>
      <c r="G3" s="551"/>
      <c r="H3" s="551"/>
    </row>
    <row r="4" spans="1:8" s="415" customFormat="1" ht="16.5" customHeight="1">
      <c r="A4" s="416"/>
      <c r="B4" s="416"/>
      <c r="C4" s="446" t="s">
        <v>460</v>
      </c>
      <c r="D4" s="416"/>
      <c r="E4" s="416"/>
      <c r="F4" s="416"/>
      <c r="G4" s="416"/>
      <c r="H4" s="416"/>
    </row>
    <row r="5" spans="1:8">
      <c r="A5" s="552" t="s">
        <v>482</v>
      </c>
      <c r="B5" s="552"/>
      <c r="C5" s="342"/>
    </row>
    <row r="6" spans="1:8">
      <c r="A6" s="342"/>
      <c r="B6" s="342"/>
      <c r="C6" s="417" t="s">
        <v>238</v>
      </c>
    </row>
    <row r="7" spans="1:8" ht="8.25" customHeight="1">
      <c r="A7" s="418"/>
      <c r="B7" s="342"/>
      <c r="C7" s="419"/>
    </row>
    <row r="8" spans="1:8">
      <c r="A8" s="460" t="s">
        <v>5</v>
      </c>
      <c r="B8" s="94" t="s">
        <v>483</v>
      </c>
      <c r="C8" s="421">
        <v>19450723</v>
      </c>
    </row>
    <row r="9" spans="1:8" ht="15" customHeight="1">
      <c r="A9" s="422"/>
      <c r="B9" s="452" t="s">
        <v>484</v>
      </c>
      <c r="C9" s="424"/>
    </row>
    <row r="10" spans="1:8">
      <c r="A10" s="425"/>
      <c r="B10" s="342"/>
      <c r="C10" s="419"/>
    </row>
    <row r="11" spans="1:8">
      <c r="A11" s="420" t="s">
        <v>8</v>
      </c>
      <c r="B11" s="160" t="s">
        <v>485</v>
      </c>
      <c r="C11" s="342"/>
    </row>
    <row r="12" spans="1:8">
      <c r="A12" s="459" t="s">
        <v>519</v>
      </c>
      <c r="B12" s="442" t="s">
        <v>532</v>
      </c>
      <c r="C12" s="421"/>
    </row>
    <row r="13" spans="1:8">
      <c r="A13" s="459" t="s">
        <v>516</v>
      </c>
      <c r="B13" t="s">
        <v>517</v>
      </c>
      <c r="C13" s="421">
        <v>22000000</v>
      </c>
    </row>
    <row r="14" spans="1:8">
      <c r="A14" s="463" t="s">
        <v>520</v>
      </c>
      <c r="B14" t="s">
        <v>518</v>
      </c>
      <c r="C14" s="421">
        <v>19000000</v>
      </c>
    </row>
    <row r="15" spans="1:8">
      <c r="B15" s="423"/>
      <c r="C15" s="426"/>
    </row>
    <row r="16" spans="1:8">
      <c r="A16" s="420" t="s">
        <v>134</v>
      </c>
      <c r="B16" s="160" t="s">
        <v>486</v>
      </c>
      <c r="C16" s="427">
        <f>C8+C12+C13-C14</f>
        <v>22450723</v>
      </c>
    </row>
    <row r="17" spans="1:8">
      <c r="A17" s="459" t="s">
        <v>519</v>
      </c>
      <c r="B17" t="s">
        <v>526</v>
      </c>
      <c r="C17" s="421"/>
    </row>
    <row r="18" spans="1:8">
      <c r="A18" s="459" t="s">
        <v>516</v>
      </c>
      <c r="B18" t="s">
        <v>527</v>
      </c>
      <c r="C18" s="421">
        <v>22450723</v>
      </c>
    </row>
    <row r="19" spans="1:8">
      <c r="A19" s="462" t="s">
        <v>520</v>
      </c>
      <c r="B19" t="s">
        <v>523</v>
      </c>
      <c r="C19" s="427">
        <f>C17+C18</f>
        <v>22450723</v>
      </c>
    </row>
    <row r="20" spans="1:8">
      <c r="A20" s="420"/>
      <c r="B20" s="418"/>
      <c r="C20" s="429"/>
    </row>
    <row r="21" spans="1:8">
      <c r="A21" s="420" t="s">
        <v>137</v>
      </c>
      <c r="B21" s="160" t="s">
        <v>487</v>
      </c>
      <c r="C21" s="429"/>
    </row>
    <row r="22" spans="1:8">
      <c r="A22" s="459" t="s">
        <v>519</v>
      </c>
      <c r="B22" t="s">
        <v>528</v>
      </c>
      <c r="C22" s="421"/>
    </row>
    <row r="23" spans="1:8">
      <c r="A23" s="459" t="s">
        <v>516</v>
      </c>
      <c r="B23" t="s">
        <v>529</v>
      </c>
      <c r="C23" s="421">
        <v>5000000</v>
      </c>
    </row>
    <row r="24" spans="1:8" ht="13.5" customHeight="1">
      <c r="A24" s="461" t="s">
        <v>520</v>
      </c>
      <c r="B24" t="s">
        <v>530</v>
      </c>
      <c r="C24" s="421"/>
    </row>
    <row r="25" spans="1:8">
      <c r="A25" s="459" t="s">
        <v>521</v>
      </c>
      <c r="B25" t="s">
        <v>531</v>
      </c>
      <c r="C25" s="421">
        <v>17450723</v>
      </c>
    </row>
    <row r="26" spans="1:8">
      <c r="A26" s="430" t="s">
        <v>525</v>
      </c>
      <c r="B26" s="342" t="s">
        <v>524</v>
      </c>
      <c r="C26" s="427">
        <f>SUM(C22:C25)</f>
        <v>22450723</v>
      </c>
    </row>
    <row r="27" spans="1:8">
      <c r="A27" s="428"/>
      <c r="B27" s="342"/>
    </row>
    <row r="28" spans="1:8">
      <c r="A28" s="428"/>
      <c r="B28" s="342"/>
      <c r="C28" s="342"/>
    </row>
    <row r="29" spans="1:8" ht="14.25" customHeight="1">
      <c r="A29" s="460" t="s">
        <v>140</v>
      </c>
      <c r="B29" t="s">
        <v>240</v>
      </c>
      <c r="C29" s="342"/>
      <c r="D29" s="393"/>
      <c r="E29" s="393"/>
      <c r="F29" s="393"/>
      <c r="G29" s="393"/>
      <c r="H29" s="393"/>
    </row>
    <row r="30" spans="1:8">
      <c r="A30" s="553"/>
      <c r="B30" s="554"/>
      <c r="C30" s="555"/>
    </row>
    <row r="31" spans="1:8">
      <c r="A31" s="556"/>
      <c r="B31" s="557"/>
      <c r="C31" s="558"/>
    </row>
    <row r="32" spans="1:8">
      <c r="A32" s="556"/>
      <c r="B32" s="557"/>
      <c r="C32" s="558"/>
    </row>
    <row r="33" spans="1:3">
      <c r="A33" s="556"/>
      <c r="B33" s="557"/>
      <c r="C33" s="558"/>
    </row>
    <row r="34" spans="1:3">
      <c r="A34" s="556"/>
      <c r="B34" s="557"/>
      <c r="C34" s="558"/>
    </row>
    <row r="35" spans="1:3">
      <c r="A35" s="556"/>
      <c r="B35" s="557"/>
      <c r="C35" s="558"/>
    </row>
    <row r="36" spans="1:3">
      <c r="A36" s="559"/>
      <c r="B36" s="560"/>
      <c r="C36" s="561"/>
    </row>
  </sheetData>
  <mergeCells count="3">
    <mergeCell ref="A3:H3"/>
    <mergeCell ref="A5:B5"/>
    <mergeCell ref="A30:C36"/>
  </mergeCells>
  <conditionalFormatting sqref="A30">
    <cfRule type="containsBlanks" dxfId="5" priority="4">
      <formula>LEN(TRIM(A30))=0</formula>
    </cfRule>
  </conditionalFormatting>
  <conditionalFormatting sqref="C8">
    <cfRule type="containsBlanks" dxfId="4" priority="11">
      <formula>LEN(TRIM(C8))=0</formula>
    </cfRule>
  </conditionalFormatting>
  <conditionalFormatting sqref="C12:C14">
    <cfRule type="containsBlanks" dxfId="3" priority="2">
      <formula>LEN(TRIM(C12))=0</formula>
    </cfRule>
  </conditionalFormatting>
  <conditionalFormatting sqref="C17:C18">
    <cfRule type="containsBlanks" dxfId="2" priority="1">
      <formula>LEN(TRIM(C17))=0</formula>
    </cfRule>
  </conditionalFormatting>
  <conditionalFormatting sqref="C22:C25">
    <cfRule type="containsBlanks" dxfId="1" priority="3">
      <formula>LEN(TRIM(C22))=0</formula>
    </cfRule>
  </conditionalFormatting>
  <dataValidations count="2">
    <dataValidation type="textLength" operator="equal" allowBlank="1" showInputMessage="1" showErrorMessage="1" promptTitle="CTD Number" prompt="This cell will only accept a CTD number of exactly 9 digits.  Enter 000 at the end of the charter number to fill the places of a school number." sqref="PU1:PU2 ZQ1:ZQ2 AJM1:AJM2 ATI1:ATI2 BDE1:BDE2 BNA1:BNA2 BWW1:BWW2 CGS1:CGS2 CQO1:CQO2 DAK1:DAK2 DKG1:DKG2 DUC1:DUC2 EDY1:EDY2 ENU1:ENU2 EXQ1:EXQ2 FHM1:FHM2 FRI1:FRI2 GBE1:GBE2 GLA1:GLA2 GUW1:GUW2 HES1:HES2 HOO1:HOO2 HYK1:HYK2 IIG1:IIG2 ISC1:ISC2 JBY1:JBY2 JLU1:JLU2 JVQ1:JVQ2 KFM1:KFM2 KPI1:KPI2 KZE1:KZE2 LJA1:LJA2 LSW1:LSW2 MCS1:MCS2 MMO1:MMO2 MWK1:MWK2 NGG1:NGG2 NQC1:NQC2 NZY1:NZY2 OJU1:OJU2 OTQ1:OTQ2 PDM1:PDM2 PNI1:PNI2 PXE1:PXE2 QHA1:QHA2 QQW1:QQW2 RAS1:RAS2 RKO1:RKO2 RUK1:RUK2 SEG1:SEG2 SOC1:SOC2 SXY1:SXY2 THU1:THU2 TRQ1:TRQ2 UBM1:UBM2 ULI1:ULI2 UVE1:UVE2 VFA1:VFA2 VOW1:VOW2 VYS1:VYS2 WIO1:WIO2 WSK1:WSK2 FY1:FY2" xr:uid="{00000000-0002-0000-0700-000000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FY3:FY4 PU3:PU4 ZQ3:ZQ4 AJM3:AJM4 ATI3:ATI4 BDE3:BDE4 BNA3:BNA4 BWW3:BWW4 CGS3:CGS4 CQO3:CQO4 DAK3:DAK4 DKG3:DKG4 DUC3:DUC4 EDY3:EDY4 ENU3:ENU4 EXQ3:EXQ4 FHM3:FHM4 FRI3:FRI4 GBE3:GBE4 GLA3:GLA4 GUW3:GUW4 HES3:HES4 HOO3:HOO4 HYK3:HYK4 IIG3:IIG4 ISC3:ISC4 JBY3:JBY4 JLU3:JLU4 JVQ3:JVQ4 KFM3:KFM4 KPI3:KPI4 KZE3:KZE4 LJA3:LJA4 LSW3:LSW4 MCS3:MCS4 MMO3:MMO4 MWK3:MWK4 NGG3:NGG4 NQC3:NQC4 NZY3:NZY4 OJU3:OJU4 OTQ3:OTQ4 PDM3:PDM4 PNI3:PNI4 PXE3:PXE4 QHA3:QHA4 QQW3:QQW4 RAS3:RAS4 RKO3:RKO4 RUK3:RUK4 SEG3:SEG4 SOC3:SOC4 SXY3:SXY4 THU3:THU4 TRQ3:TRQ4 UBM3:UBM4 ULI3:ULI4 UVE3:UVE4 VFA3:VFA4 VOW3:VOW4 VYS3:VYS4 WIO3:WIO4 WSK3:WSK4" xr:uid="{00000000-0002-0000-0700-000001000000}">
      <formula1>9</formula1>
    </dataValidation>
  </dataValidations>
  <hyperlinks>
    <hyperlink ref="A8" location="ProjectBalancesLine1" display="FY 2024 final ending project balance" xr:uid="{00000000-0004-0000-0700-000000000000}"/>
    <hyperlink ref="A14" location="ProjectBalancesLine2c" display="(c) FY 2026 expenses, indirect costs, reversions, capital acquisitions, and redemption of principal" xr:uid="{00000000-0004-0000-0700-000002000000}"/>
    <hyperlink ref="A17" location="ProjectBalancesLine3a" display="(a) With donor restrictions/Restricted" xr:uid="{00000000-0004-0000-0700-000003000000}"/>
    <hyperlink ref="A18" location="ProjectBalancesLine3b" display="(b) Without donor restrictions/Unrestricted" xr:uid="{00000000-0004-0000-0700-000004000000}"/>
    <hyperlink ref="A22" location="ProjectBalancesLine4a" display="(a) Deficit balance" xr:uid="{00000000-0004-0000-0700-000005000000}"/>
    <hyperlink ref="A23" location="ProjectBalancesLine4b" display="(b) Planned to be spent in FY 2026 " xr:uid="{00000000-0004-0000-0700-000006000000}"/>
    <hyperlink ref="A24" location="ProjectBalancesLine4c" display="(c) Planned to be spent in FY 2026 to support operations of other school sites within the same charter management organization" xr:uid="{00000000-0004-0000-0700-000007000000}"/>
    <hyperlink ref="A25" location="ProjectBalancesLine4d" display="(d) Maintained for spending after FY 2026" xr:uid="{00000000-0004-0000-0700-000008000000}"/>
    <hyperlink ref="A29" location="ProjectBalancesLine5" display="Comments (optional)" xr:uid="{00000000-0004-0000-0700-000009000000}"/>
    <hyperlink ref="C4" location="ProjectBalancesLine1" display="Instructions" xr:uid="{00000000-0004-0000-0700-00000A000000}"/>
    <hyperlink ref="A13" location="ProjectBalancesLine2b" display="(b) FY 2026 revenues" xr:uid="{DB9AB5A8-ABC0-4990-9A85-6FA6257416B2}"/>
    <hyperlink ref="A12" location="ProjectBalancesLine2a" display="(a)" xr:uid="{18F97555-C419-46B6-97C1-C58203300151}"/>
  </hyperlinks>
  <pageMargins left="0.7" right="0.7" top="0.75" bottom="0.75" header="0.3" footer="0.3"/>
  <pageSetup scale="55" orientation="landscape" r:id="rId1"/>
  <headerFooter>
    <oddFooter>&amp;LRev. 5/26 Arizona Department of Education and Auditor General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C114"/>
  <sheetViews>
    <sheetView showGridLines="0" topLeftCell="A104" workbookViewId="0">
      <selection activeCell="N93" sqref="N93"/>
    </sheetView>
  </sheetViews>
  <sheetFormatPr defaultColWidth="9" defaultRowHeight="12.75"/>
  <cols>
    <col min="1" max="1" width="3.28515625" customWidth="1"/>
    <col min="2" max="2" width="3.85546875" customWidth="1"/>
    <col min="3" max="3" width="5.28515625" customWidth="1"/>
    <col min="4" max="4" width="6.28515625" customWidth="1"/>
    <col min="5" max="5" width="31" customWidth="1"/>
    <col min="6" max="6" width="1.5703125" customWidth="1"/>
    <col min="7" max="7" width="12.5703125" customWidth="1"/>
    <col min="8" max="8" width="1.5703125" customWidth="1"/>
    <col min="9" max="10" width="12.5703125" customWidth="1"/>
    <col min="11" max="11" width="1.5703125" customWidth="1"/>
    <col min="12" max="12" width="10.5703125" customWidth="1"/>
    <col min="13" max="15" width="12.5703125" customWidth="1"/>
    <col min="16" max="19" width="10.5703125" customWidth="1"/>
    <col min="20" max="20" width="9" customWidth="1"/>
  </cols>
  <sheetData>
    <row r="1" spans="1:23">
      <c r="A1" t="s">
        <v>0</v>
      </c>
      <c r="B1" s="342"/>
      <c r="C1" s="342"/>
      <c r="D1" s="342"/>
      <c r="E1" s="343" t="str">
        <f>CharterName</f>
        <v>Harvest Power Community Development Group</v>
      </c>
      <c r="F1" s="344"/>
      <c r="G1" s="3"/>
      <c r="I1" s="3"/>
      <c r="K1" s="405" t="s">
        <v>1</v>
      </c>
      <c r="L1" s="406" t="str">
        <f>Cover!M1</f>
        <v>Yuma</v>
      </c>
      <c r="M1" s="394"/>
      <c r="N1" s="2"/>
      <c r="O1" s="405" t="s">
        <v>2</v>
      </c>
      <c r="P1" s="395" t="str">
        <f>CTD</f>
        <v>148760000</v>
      </c>
    </row>
    <row r="2" spans="1:23" ht="24.75" customHeight="1"/>
    <row r="4" spans="1:23" ht="15.75">
      <c r="A4" s="586" t="s">
        <v>447</v>
      </c>
      <c r="B4" s="586"/>
      <c r="C4" s="586"/>
      <c r="D4" s="586"/>
      <c r="E4" s="586"/>
      <c r="F4" s="586"/>
      <c r="G4" s="586"/>
      <c r="H4" s="586"/>
      <c r="I4" s="586"/>
      <c r="J4" s="586"/>
      <c r="K4" s="586"/>
      <c r="L4" s="586"/>
      <c r="M4" s="586"/>
      <c r="N4" s="586"/>
    </row>
    <row r="5" spans="1:23">
      <c r="A5" s="587"/>
      <c r="B5" s="587"/>
      <c r="C5" s="587"/>
      <c r="E5" s="482" t="s">
        <v>39</v>
      </c>
      <c r="F5" s="482"/>
      <c r="G5" s="482"/>
    </row>
    <row r="6" spans="1:23">
      <c r="B6" s="144" t="s">
        <v>5</v>
      </c>
      <c r="C6" s="588" t="s">
        <v>40</v>
      </c>
      <c r="D6" s="588"/>
      <c r="E6" s="589"/>
      <c r="F6" s="592" t="s">
        <v>543</v>
      </c>
      <c r="G6" s="593"/>
      <c r="H6" s="593"/>
      <c r="I6" s="594"/>
      <c r="J6" s="147" t="str" cm="1">
        <f t="array" ref="J6:W6">_xlfn.TEXTSPLIT(_xlfn._LONGTEXT("AZ Dept of Juvenile Corrections (AZDJC), BocaVox (Maestro), Edupoint (Edupoint), Edupoint (Synergy), Hane Solutions (SchoolDex), InfiniteCampus (InfiniteCampus), JupiterEd (JupiterEd), MediaNet Solutions (e-IEP PRO), Mesa Distance Learning Program (MDLP),"," Pearson (Connexus), PowerSchool (PowerSchool), Strongmind (Strongmind), Tyler Technologies (Schoolmaster), Tyler Technologies (Tyler V10)"),", ")</f>
        <v>AZ Dept of Juvenile Corrections (AZDJC)</v>
      </c>
      <c r="K6" s="147" t="str">
        <v>BocaVox (Maestro)</v>
      </c>
      <c r="L6" s="147" t="str">
        <v>Edupoint (Edupoint)</v>
      </c>
      <c r="M6" s="147" t="str">
        <v>Edupoint (Synergy)</v>
      </c>
      <c r="N6" s="147" t="str">
        <v>Hane Solutions (SchoolDex)</v>
      </c>
      <c r="O6" s="147" t="str">
        <v>InfiniteCampus (InfiniteCampus)</v>
      </c>
      <c r="P6" s="147" t="str">
        <v>JupiterEd (JupiterEd)</v>
      </c>
      <c r="Q6" s="147" t="str">
        <v>MediaNet Solutions (e-IEP PRO)</v>
      </c>
      <c r="R6" s="147" t="str">
        <v>Mesa Distance Learning Program (MDLP)</v>
      </c>
      <c r="S6" s="147" t="str">
        <v>Pearson (Connexus)</v>
      </c>
      <c r="T6" s="147" t="str">
        <v>PowerSchool (PowerSchool)</v>
      </c>
      <c r="U6" s="147" t="str">
        <v>Strongmind (Strongmind)</v>
      </c>
      <c r="V6" s="147" t="str">
        <v>Tyler Technologies (Schoolmaster)</v>
      </c>
      <c r="W6" s="147" t="str">
        <v>Tyler Technologies (Tyler V10)</v>
      </c>
    </row>
    <row r="8" spans="1:23">
      <c r="B8" s="144" t="s">
        <v>8</v>
      </c>
      <c r="C8" s="481" t="s">
        <v>41</v>
      </c>
      <c r="D8" s="481"/>
      <c r="E8" s="590"/>
      <c r="F8" s="595" t="s">
        <v>544</v>
      </c>
      <c r="G8" s="595"/>
      <c r="H8" s="595"/>
      <c r="I8" s="595"/>
    </row>
    <row r="10" spans="1:23">
      <c r="B10" s="144" t="s">
        <v>134</v>
      </c>
      <c r="C10" s="600" t="s">
        <v>42</v>
      </c>
      <c r="D10" s="600"/>
      <c r="E10" s="601"/>
      <c r="F10" s="596" t="s">
        <v>545</v>
      </c>
      <c r="G10" s="596"/>
      <c r="H10" s="596"/>
      <c r="I10" s="596"/>
    </row>
    <row r="11" spans="1:23">
      <c r="C11" s="600"/>
      <c r="D11" s="600"/>
      <c r="E11" s="601"/>
      <c r="F11" s="596"/>
      <c r="G11" s="596"/>
      <c r="H11" s="596"/>
      <c r="I11" s="596"/>
    </row>
    <row r="12" spans="1:23">
      <c r="C12" s="439"/>
      <c r="D12" s="439"/>
      <c r="E12" s="439"/>
    </row>
    <row r="13" spans="1:23" ht="206.25" customHeight="1">
      <c r="B13" s="440" t="s">
        <v>137</v>
      </c>
      <c r="C13" s="566" t="s">
        <v>446</v>
      </c>
      <c r="D13" s="566"/>
      <c r="E13" s="566"/>
      <c r="F13" s="566"/>
      <c r="G13" s="566"/>
      <c r="H13" s="566"/>
      <c r="I13" s="566"/>
      <c r="J13" s="566"/>
    </row>
    <row r="15" spans="1:23">
      <c r="B15" t="s">
        <v>448</v>
      </c>
      <c r="C15" s="481" t="s">
        <v>43</v>
      </c>
      <c r="D15" s="481"/>
      <c r="E15" s="590"/>
      <c r="F15" s="597" t="s">
        <v>441</v>
      </c>
      <c r="G15" s="598"/>
      <c r="H15" s="598"/>
      <c r="I15" s="599"/>
    </row>
    <row r="16" spans="1:23">
      <c r="C16" s="481" t="s">
        <v>44</v>
      </c>
      <c r="D16" s="481"/>
      <c r="E16" s="481"/>
    </row>
    <row r="17" spans="1:29">
      <c r="B17" s="144" t="s">
        <v>449</v>
      </c>
      <c r="C17" s="481" t="s">
        <v>45</v>
      </c>
      <c r="D17" s="481"/>
      <c r="E17" s="590"/>
      <c r="F17" s="597" t="s">
        <v>546</v>
      </c>
      <c r="G17" s="598"/>
      <c r="H17" s="598"/>
      <c r="I17" s="599"/>
    </row>
    <row r="18" spans="1:29">
      <c r="B18" s="144" t="s">
        <v>450</v>
      </c>
      <c r="C18" s="481" t="s">
        <v>46</v>
      </c>
      <c r="D18" s="481"/>
      <c r="E18" s="590"/>
      <c r="F18" s="595" t="s">
        <v>547</v>
      </c>
      <c r="G18" s="595"/>
      <c r="H18" s="595"/>
      <c r="I18" s="595"/>
    </row>
    <row r="19" spans="1:29">
      <c r="B19" s="144" t="s">
        <v>451</v>
      </c>
      <c r="C19" s="481" t="s">
        <v>47</v>
      </c>
      <c r="D19" s="481"/>
      <c r="E19" s="590"/>
      <c r="F19" s="597" t="s">
        <v>548</v>
      </c>
      <c r="G19" s="598"/>
      <c r="H19" s="598"/>
      <c r="I19" s="599"/>
    </row>
    <row r="20" spans="1:29">
      <c r="B20" s="144" t="s">
        <v>452</v>
      </c>
      <c r="C20" s="481" t="s">
        <v>48</v>
      </c>
      <c r="D20" s="481"/>
      <c r="E20" s="590"/>
      <c r="F20" s="597"/>
      <c r="G20" s="598"/>
      <c r="H20" s="598"/>
      <c r="I20" s="599"/>
    </row>
    <row r="21" spans="1:29">
      <c r="B21" s="144" t="s">
        <v>453</v>
      </c>
      <c r="C21" s="481" t="s">
        <v>49</v>
      </c>
      <c r="D21" s="481"/>
      <c r="E21" s="590"/>
      <c r="F21" s="597" t="s">
        <v>549</v>
      </c>
      <c r="G21" s="598"/>
      <c r="H21" s="598"/>
      <c r="I21" s="599"/>
    </row>
    <row r="22" spans="1:29">
      <c r="B22" s="144" t="s">
        <v>454</v>
      </c>
      <c r="C22" s="481" t="s">
        <v>14</v>
      </c>
      <c r="D22" s="481"/>
      <c r="E22" s="590"/>
      <c r="F22" s="597" t="s">
        <v>550</v>
      </c>
      <c r="G22" s="598"/>
      <c r="H22" s="598"/>
      <c r="I22" s="599"/>
    </row>
    <row r="23" spans="1:29">
      <c r="B23" s="144" t="s">
        <v>455</v>
      </c>
      <c r="C23" s="481" t="s">
        <v>50</v>
      </c>
      <c r="D23" s="481"/>
      <c r="E23" s="590"/>
      <c r="F23" s="595">
        <v>85634</v>
      </c>
      <c r="G23" s="595"/>
      <c r="H23" s="595"/>
      <c r="I23" s="595"/>
    </row>
    <row r="25" spans="1:29" ht="15.75">
      <c r="A25" s="345" t="s">
        <v>241</v>
      </c>
      <c r="C25" s="174"/>
      <c r="D25" s="229"/>
      <c r="E25" s="94"/>
      <c r="F25" s="94"/>
      <c r="Q25" s="484"/>
      <c r="R25" s="484"/>
      <c r="S25" s="484"/>
      <c r="T25" s="484"/>
      <c r="U25" s="484"/>
      <c r="V25" s="484"/>
      <c r="W25" s="484"/>
      <c r="X25" s="484"/>
      <c r="Y25" s="484"/>
      <c r="Z25" s="484"/>
      <c r="AA25" s="484"/>
      <c r="AB25" s="484"/>
      <c r="AC25" s="484"/>
    </row>
    <row r="27" spans="1:29" s="145" customFormat="1" ht="114" customHeight="1">
      <c r="A27" s="346" t="str">
        <f>IF(B29="X","X",IF(B30="x","x",IF(B31="X","X",IF(B32="X","X",""))))</f>
        <v/>
      </c>
      <c r="B27" s="566" t="s">
        <v>242</v>
      </c>
      <c r="C27" s="566"/>
      <c r="D27" s="566"/>
      <c r="E27" s="566"/>
      <c r="F27" s="566"/>
      <c r="G27" s="566"/>
      <c r="H27" s="566"/>
      <c r="I27" s="566"/>
      <c r="J27" s="566"/>
      <c r="K27" s="566"/>
      <c r="L27" s="566"/>
      <c r="M27" s="566"/>
      <c r="N27" s="566"/>
      <c r="O27" s="347"/>
    </row>
    <row r="28" spans="1:29">
      <c r="J28" s="191"/>
      <c r="K28" s="191"/>
      <c r="L28" s="191"/>
      <c r="M28" s="523" t="s">
        <v>243</v>
      </c>
      <c r="N28" s="523"/>
    </row>
    <row r="29" spans="1:29" ht="38.25" customHeight="1">
      <c r="A29" s="229"/>
      <c r="B29" s="27"/>
      <c r="D29" s="602" t="s">
        <v>245</v>
      </c>
      <c r="E29" s="602"/>
      <c r="F29" s="602"/>
      <c r="G29" s="602"/>
      <c r="H29" s="602"/>
      <c r="I29" s="602"/>
      <c r="J29" s="602" t="str">
        <f>IF(B29&lt;&gt;"x","No additional information required","Please enter the name of the management company.")</f>
        <v>No additional information required</v>
      </c>
      <c r="K29" s="602"/>
      <c r="L29" s="602"/>
      <c r="M29" s="591"/>
      <c r="N29" s="591"/>
      <c r="O29" s="396"/>
      <c r="Q29" s="147" t="s">
        <v>244</v>
      </c>
    </row>
    <row r="30" spans="1:29" ht="39" customHeight="1" thickBot="1">
      <c r="A30" s="229"/>
      <c r="B30" s="28"/>
      <c r="D30" s="602" t="s">
        <v>246</v>
      </c>
      <c r="E30" s="602"/>
      <c r="F30" s="602"/>
      <c r="G30" s="602"/>
      <c r="H30" s="602"/>
      <c r="I30" s="602"/>
      <c r="J30" s="602" t="str">
        <f>IF(B30&lt;&gt;"x","No additional information required","Please enter the name of any other charter holder with identical membership.")</f>
        <v>No additional information required</v>
      </c>
      <c r="K30" s="602"/>
      <c r="L30" s="602"/>
      <c r="M30" s="591"/>
      <c r="N30" s="591"/>
      <c r="O30" s="396"/>
      <c r="Q30" s="147" t="s">
        <v>239</v>
      </c>
    </row>
    <row r="31" spans="1:29" ht="27.75" customHeight="1" thickBot="1">
      <c r="A31" s="229"/>
      <c r="B31" s="29"/>
      <c r="D31" s="602" t="s">
        <v>247</v>
      </c>
      <c r="E31" s="602"/>
      <c r="F31" s="602"/>
      <c r="G31" s="602"/>
      <c r="H31" s="602"/>
      <c r="I31" s="602"/>
      <c r="J31" s="602" t="str">
        <f>IF(B31&lt;&gt;"x","No additional information required","Please enter the name of the corporation.")</f>
        <v>No additional information required</v>
      </c>
      <c r="K31" s="602"/>
      <c r="L31" s="602"/>
      <c r="M31" s="591"/>
      <c r="N31" s="591"/>
      <c r="O31" s="396"/>
      <c r="Q31" s="147"/>
    </row>
    <row r="32" spans="1:29" ht="27.75" customHeight="1" thickBot="1">
      <c r="A32" s="229"/>
      <c r="B32" s="29"/>
      <c r="D32" s="618" t="s">
        <v>248</v>
      </c>
      <c r="E32" s="618"/>
      <c r="F32" s="618"/>
      <c r="G32" s="618"/>
      <c r="H32" s="618"/>
      <c r="I32" s="618"/>
      <c r="M32" s="2"/>
      <c r="N32" s="2"/>
      <c r="O32" s="2"/>
    </row>
    <row r="33" spans="1:16">
      <c r="A33" s="229"/>
      <c r="B33" s="229"/>
      <c r="C33" s="128"/>
      <c r="D33" s="128"/>
      <c r="E33" s="128"/>
      <c r="F33" s="128"/>
      <c r="G33" s="128"/>
      <c r="H33" s="128"/>
      <c r="I33" s="128"/>
      <c r="J33" s="128"/>
      <c r="K33" s="128"/>
      <c r="L33" s="128"/>
      <c r="M33" s="128"/>
      <c r="N33" s="128"/>
      <c r="O33" s="128"/>
    </row>
    <row r="34" spans="1:16">
      <c r="B34" s="94" t="s">
        <v>249</v>
      </c>
      <c r="C34" s="94"/>
      <c r="D34" s="94"/>
      <c r="E34" s="94"/>
    </row>
    <row r="35" spans="1:16" ht="80.25" customHeight="1">
      <c r="B35" s="566" t="s">
        <v>489</v>
      </c>
      <c r="C35" s="566"/>
      <c r="D35" s="566"/>
      <c r="E35" s="566"/>
      <c r="F35" s="566"/>
      <c r="G35" s="566"/>
      <c r="H35" s="566"/>
      <c r="I35" s="566"/>
      <c r="J35" s="566"/>
      <c r="K35" s="566"/>
      <c r="L35" s="566"/>
      <c r="M35" s="566"/>
      <c r="N35" s="566"/>
    </row>
    <row r="36" spans="1:16" ht="13.5" customHeight="1">
      <c r="B36" s="112"/>
      <c r="C36" s="112"/>
      <c r="D36" s="112"/>
      <c r="E36" s="112"/>
      <c r="F36" s="112"/>
      <c r="G36" s="112"/>
      <c r="H36" s="112"/>
      <c r="I36" s="112"/>
      <c r="J36" s="112"/>
      <c r="K36" s="112"/>
      <c r="L36" s="112"/>
      <c r="M36" s="112"/>
      <c r="N36" s="112"/>
    </row>
    <row r="37" spans="1:16">
      <c r="B37" s="609" t="s">
        <v>250</v>
      </c>
      <c r="C37" s="609"/>
      <c r="D37" s="609"/>
      <c r="E37" s="609"/>
      <c r="F37" s="516" t="s">
        <v>251</v>
      </c>
      <c r="G37" s="517"/>
      <c r="H37" s="516" t="s">
        <v>252</v>
      </c>
      <c r="I37" s="570"/>
      <c r="J37" s="517"/>
      <c r="K37" s="573" t="s">
        <v>253</v>
      </c>
      <c r="L37" s="574"/>
      <c r="M37" s="575"/>
    </row>
    <row r="38" spans="1:16">
      <c r="B38" s="610" t="s">
        <v>254</v>
      </c>
      <c r="C38" s="611"/>
      <c r="D38" s="611"/>
      <c r="E38" s="612"/>
      <c r="F38" s="608"/>
      <c r="G38" s="604"/>
      <c r="H38" s="348"/>
      <c r="I38" s="603">
        <v>1375</v>
      </c>
      <c r="J38" s="604"/>
      <c r="K38" s="274"/>
      <c r="L38" s="603">
        <v>300</v>
      </c>
      <c r="M38" s="604"/>
      <c r="N38" s="191"/>
    </row>
    <row r="39" spans="1:16">
      <c r="B39" s="605" t="s">
        <v>255</v>
      </c>
      <c r="C39" s="606"/>
      <c r="D39" s="606"/>
      <c r="E39" s="607"/>
      <c r="F39" s="349"/>
      <c r="G39" s="350"/>
      <c r="H39" s="351" t="s">
        <v>256</v>
      </c>
      <c r="I39" s="580"/>
      <c r="J39" s="581"/>
      <c r="K39" s="392" t="s">
        <v>256</v>
      </c>
      <c r="L39" s="582"/>
      <c r="M39" s="583"/>
      <c r="N39" s="191"/>
    </row>
    <row r="40" spans="1:16">
      <c r="B40" s="605" t="s">
        <v>257</v>
      </c>
      <c r="C40" s="606"/>
      <c r="D40" s="606"/>
      <c r="E40" s="607"/>
      <c r="F40" s="349"/>
      <c r="G40" s="350"/>
      <c r="H40" s="351" t="s">
        <v>256</v>
      </c>
      <c r="I40" s="580"/>
      <c r="J40" s="581"/>
      <c r="K40" s="392" t="s">
        <v>256</v>
      </c>
      <c r="L40" s="582"/>
      <c r="M40" s="583"/>
    </row>
    <row r="41" spans="1:16">
      <c r="B41" s="613" t="s">
        <v>258</v>
      </c>
      <c r="C41" s="614"/>
      <c r="D41" s="614"/>
      <c r="E41" s="615"/>
      <c r="F41" s="75" t="s">
        <v>259</v>
      </c>
      <c r="G41" s="352">
        <f>F38</f>
        <v>0</v>
      </c>
      <c r="H41" s="400" t="s">
        <v>259</v>
      </c>
      <c r="I41" s="578">
        <f>I38+I39+I40</f>
        <v>1375</v>
      </c>
      <c r="J41" s="579"/>
      <c r="K41" s="75" t="s">
        <v>259</v>
      </c>
      <c r="L41" s="578">
        <f>L38+L39+L40</f>
        <v>300</v>
      </c>
      <c r="M41" s="579"/>
    </row>
    <row r="43" spans="1:16">
      <c r="B43" s="94" t="s">
        <v>260</v>
      </c>
    </row>
    <row r="44" spans="1:16" ht="26.25" customHeight="1">
      <c r="B44" s="566" t="s">
        <v>261</v>
      </c>
      <c r="C44" s="566"/>
      <c r="D44" s="566"/>
      <c r="E44" s="566"/>
      <c r="F44" s="566"/>
      <c r="G44" s="566"/>
      <c r="H44" s="566"/>
      <c r="I44" s="566"/>
      <c r="J44" s="566"/>
      <c r="K44" s="566"/>
      <c r="L44" s="566"/>
      <c r="M44" s="566"/>
      <c r="N44" s="566"/>
    </row>
    <row r="45" spans="1:16">
      <c r="B45" s="353"/>
      <c r="C45" s="354"/>
      <c r="D45" s="354"/>
      <c r="E45" s="354"/>
      <c r="F45" s="354"/>
      <c r="G45" s="354"/>
      <c r="H45" s="354"/>
      <c r="I45" s="354"/>
      <c r="J45" s="354"/>
      <c r="K45" s="354"/>
      <c r="L45" s="354"/>
      <c r="M45" s="354"/>
    </row>
    <row r="46" spans="1:16">
      <c r="B46" s="399" t="s">
        <v>250</v>
      </c>
      <c r="C46" s="399"/>
      <c r="D46" s="399"/>
      <c r="E46" s="399"/>
      <c r="F46" s="516" t="s">
        <v>251</v>
      </c>
      <c r="G46" s="517"/>
      <c r="H46" s="516" t="s">
        <v>252</v>
      </c>
      <c r="I46" s="570"/>
      <c r="J46" s="517"/>
      <c r="K46" s="573" t="s">
        <v>253</v>
      </c>
      <c r="L46" s="574"/>
      <c r="M46" s="575"/>
    </row>
    <row r="47" spans="1:16">
      <c r="B47" s="400" t="s">
        <v>254</v>
      </c>
      <c r="C47" s="401"/>
      <c r="D47" s="402"/>
      <c r="F47" s="53"/>
      <c r="G47" s="33"/>
      <c r="I47" s="616"/>
      <c r="J47" s="617"/>
      <c r="K47" s="400"/>
      <c r="L47" s="616"/>
      <c r="M47" s="617"/>
      <c r="P47" s="3"/>
    </row>
    <row r="48" spans="1:16">
      <c r="B48" s="75" t="s">
        <v>255</v>
      </c>
      <c r="C48" s="226"/>
      <c r="D48" s="355"/>
      <c r="E48" s="356"/>
      <c r="F48" s="357"/>
      <c r="G48" s="358"/>
      <c r="H48" s="226" t="s">
        <v>256</v>
      </c>
      <c r="I48" s="580"/>
      <c r="J48" s="581"/>
      <c r="K48" s="75" t="s">
        <v>256</v>
      </c>
      <c r="L48" s="582"/>
      <c r="M48" s="583"/>
    </row>
    <row r="49" spans="1:21">
      <c r="B49" s="75" t="s">
        <v>257</v>
      </c>
      <c r="C49" s="226"/>
      <c r="D49" s="226"/>
      <c r="E49" s="359"/>
      <c r="F49" s="357"/>
      <c r="G49" s="358"/>
      <c r="H49" s="226" t="s">
        <v>256</v>
      </c>
      <c r="I49" s="580"/>
      <c r="J49" s="581"/>
      <c r="K49" s="75" t="s">
        <v>256</v>
      </c>
      <c r="L49" s="582"/>
      <c r="M49" s="583"/>
    </row>
    <row r="50" spans="1:21">
      <c r="B50" s="400" t="s">
        <v>258</v>
      </c>
      <c r="C50" s="401"/>
      <c r="D50" s="402"/>
      <c r="E50" s="400"/>
      <c r="F50" s="400" t="s">
        <v>259</v>
      </c>
      <c r="G50" s="352">
        <f>G47</f>
        <v>0</v>
      </c>
      <c r="H50" s="75" t="s">
        <v>259</v>
      </c>
      <c r="I50" s="578">
        <f>I47+I48+I49</f>
        <v>0</v>
      </c>
      <c r="J50" s="579"/>
      <c r="K50" s="75" t="s">
        <v>259</v>
      </c>
      <c r="L50" s="571">
        <f>L47+L48+L49</f>
        <v>0</v>
      </c>
      <c r="M50" s="572"/>
    </row>
    <row r="51" spans="1:21">
      <c r="B51" s="87"/>
    </row>
    <row r="52" spans="1:21">
      <c r="A52" s="360"/>
      <c r="B52" s="360"/>
      <c r="C52" s="361"/>
      <c r="D52" s="361"/>
      <c r="E52" s="362"/>
      <c r="F52" s="362"/>
      <c r="G52" s="361"/>
      <c r="H52" s="361"/>
      <c r="I52" s="363"/>
      <c r="K52" s="363"/>
    </row>
    <row r="53" spans="1:21" ht="15.75" customHeight="1">
      <c r="A53" s="364" t="s">
        <v>262</v>
      </c>
      <c r="C53" s="94"/>
      <c r="D53" s="94"/>
      <c r="E53" s="94"/>
      <c r="G53" s="365"/>
      <c r="H53" s="365"/>
      <c r="I53" s="365"/>
      <c r="J53" s="365"/>
      <c r="K53" s="365"/>
      <c r="L53" s="365"/>
      <c r="M53" s="365"/>
      <c r="N53" s="365"/>
      <c r="O53" s="365"/>
    </row>
    <row r="54" spans="1:21" ht="12.75" customHeight="1">
      <c r="A54" s="364"/>
      <c r="C54" s="94"/>
      <c r="D54" s="94"/>
      <c r="E54" s="94"/>
      <c r="G54" s="365"/>
      <c r="H54" s="365"/>
      <c r="I54" s="365"/>
      <c r="J54" s="365"/>
      <c r="K54" s="365"/>
      <c r="L54" s="365"/>
      <c r="M54" s="365"/>
      <c r="N54" s="365"/>
      <c r="O54" s="365"/>
    </row>
    <row r="55" spans="1:21" ht="12.75" customHeight="1">
      <c r="A55" s="364"/>
      <c r="B55" s="94" t="s">
        <v>263</v>
      </c>
      <c r="C55" s="94"/>
      <c r="D55" s="94"/>
      <c r="E55" s="94"/>
      <c r="G55" s="365"/>
      <c r="H55" s="365"/>
      <c r="I55" s="365"/>
      <c r="J55" s="365"/>
      <c r="K55" s="365"/>
      <c r="L55" s="365"/>
      <c r="M55" s="365"/>
      <c r="N55" s="365"/>
      <c r="O55" s="365"/>
    </row>
    <row r="56" spans="1:21" ht="137.25" customHeight="1">
      <c r="A56" s="94"/>
      <c r="B56" s="566" t="s">
        <v>461</v>
      </c>
      <c r="C56" s="566"/>
      <c r="D56" s="566"/>
      <c r="E56" s="566"/>
      <c r="F56" s="566"/>
      <c r="G56" s="566"/>
      <c r="H56" s="566"/>
      <c r="I56" s="566"/>
      <c r="J56" s="566"/>
      <c r="K56" s="566"/>
      <c r="L56" s="566"/>
      <c r="M56" s="566"/>
      <c r="N56" s="566"/>
      <c r="O56" s="365"/>
    </row>
    <row r="57" spans="1:21" ht="12.75" customHeight="1">
      <c r="A57" s="94"/>
      <c r="B57" s="393"/>
      <c r="C57" s="393"/>
      <c r="D57" s="393"/>
      <c r="E57" s="393"/>
      <c r="F57" s="393"/>
      <c r="G57" s="393"/>
      <c r="H57" s="393"/>
      <c r="I57" s="393"/>
      <c r="J57" s="393"/>
      <c r="K57" s="393"/>
      <c r="L57" s="393"/>
      <c r="M57" s="393"/>
      <c r="N57" s="393"/>
      <c r="O57" s="365"/>
    </row>
    <row r="58" spans="1:21" ht="51.75" customHeight="1">
      <c r="B58" s="366"/>
      <c r="C58" s="353"/>
      <c r="D58" s="353"/>
      <c r="E58" s="353"/>
      <c r="I58" s="404" t="s">
        <v>254</v>
      </c>
      <c r="J58" s="404" t="s">
        <v>264</v>
      </c>
      <c r="K58" s="576" t="s">
        <v>265</v>
      </c>
      <c r="L58" s="577"/>
      <c r="M58" s="367"/>
      <c r="O58" s="367"/>
      <c r="P58" s="367"/>
      <c r="R58" s="367"/>
      <c r="S58" s="367"/>
      <c r="U58" s="136"/>
    </row>
    <row r="59" spans="1:21">
      <c r="A59" s="389"/>
      <c r="B59" s="389">
        <v>1</v>
      </c>
      <c r="C59" s="145" t="s">
        <v>268</v>
      </c>
      <c r="I59" s="34">
        <v>742</v>
      </c>
      <c r="J59" s="35"/>
      <c r="K59" s="564"/>
      <c r="L59" s="565"/>
      <c r="M59" s="369"/>
      <c r="N59" s="108"/>
      <c r="O59" s="365"/>
      <c r="P59" s="369"/>
      <c r="R59" s="365"/>
      <c r="S59" s="369"/>
    </row>
    <row r="60" spans="1:21">
      <c r="A60" s="389"/>
      <c r="B60" s="389">
        <v>2</v>
      </c>
      <c r="C60" s="145" t="s">
        <v>267</v>
      </c>
      <c r="I60" s="34">
        <v>505</v>
      </c>
      <c r="J60" s="35"/>
      <c r="K60" s="564"/>
      <c r="L60" s="565"/>
      <c r="M60" s="369"/>
      <c r="N60" s="108"/>
      <c r="O60" s="365"/>
      <c r="P60" s="369"/>
      <c r="R60" s="365"/>
      <c r="S60" s="369"/>
    </row>
    <row r="61" spans="1:21">
      <c r="A61" s="389"/>
      <c r="B61" s="389">
        <v>3</v>
      </c>
      <c r="C61" s="145" t="s">
        <v>266</v>
      </c>
      <c r="I61" s="34">
        <v>505</v>
      </c>
      <c r="J61" s="35"/>
      <c r="K61" s="564"/>
      <c r="L61" s="565"/>
      <c r="M61" s="369"/>
      <c r="P61" s="369"/>
      <c r="R61" s="365"/>
      <c r="S61" s="369"/>
    </row>
    <row r="62" spans="1:21">
      <c r="A62" s="389"/>
      <c r="B62" s="389">
        <v>4</v>
      </c>
      <c r="C62" s="145" t="s">
        <v>269</v>
      </c>
      <c r="I62" s="34">
        <v>1</v>
      </c>
      <c r="J62" s="35"/>
      <c r="K62" s="564"/>
      <c r="L62" s="565"/>
      <c r="M62" s="369"/>
      <c r="N62" s="108"/>
      <c r="O62" s="365"/>
      <c r="P62" s="369"/>
      <c r="R62" s="365"/>
      <c r="S62" s="369"/>
    </row>
    <row r="63" spans="1:21">
      <c r="A63" s="389"/>
      <c r="B63" s="389">
        <v>5</v>
      </c>
      <c r="C63" s="145" t="s">
        <v>270</v>
      </c>
      <c r="I63" s="34">
        <v>15</v>
      </c>
      <c r="J63" s="35"/>
      <c r="K63" s="564"/>
      <c r="L63" s="565"/>
      <c r="M63" s="369"/>
      <c r="N63" s="108"/>
      <c r="R63" s="365"/>
      <c r="S63" s="369"/>
    </row>
    <row r="64" spans="1:21">
      <c r="A64" s="389"/>
      <c r="B64" s="389">
        <v>6</v>
      </c>
      <c r="C64" s="145" t="s">
        <v>271</v>
      </c>
      <c r="I64" s="34">
        <v>1</v>
      </c>
      <c r="J64" s="35"/>
      <c r="K64" s="564"/>
      <c r="L64" s="565"/>
      <c r="M64" s="369"/>
      <c r="N64" s="108"/>
      <c r="O64" s="365"/>
      <c r="P64" s="369"/>
      <c r="R64" s="365"/>
      <c r="S64" s="369"/>
    </row>
    <row r="65" spans="1:19">
      <c r="A65" s="389"/>
      <c r="B65" s="389">
        <v>7</v>
      </c>
      <c r="C65" s="145" t="s">
        <v>272</v>
      </c>
      <c r="I65" s="34"/>
      <c r="J65" s="35"/>
      <c r="K65" s="564"/>
      <c r="L65" s="565"/>
      <c r="M65" s="369"/>
      <c r="N65" s="108"/>
      <c r="O65" s="365"/>
      <c r="P65" s="369"/>
      <c r="R65" s="365"/>
      <c r="S65" s="369"/>
    </row>
    <row r="66" spans="1:19">
      <c r="A66" s="389"/>
      <c r="B66" s="389">
        <v>8</v>
      </c>
      <c r="C66" s="145" t="s">
        <v>273</v>
      </c>
      <c r="I66" s="34"/>
      <c r="J66" s="35"/>
      <c r="K66" s="564"/>
      <c r="L66" s="565"/>
      <c r="M66" s="369"/>
      <c r="N66" s="108"/>
      <c r="O66" s="365"/>
      <c r="P66" s="369"/>
      <c r="R66" s="365"/>
      <c r="S66" s="369"/>
    </row>
    <row r="67" spans="1:19">
      <c r="A67" s="389"/>
      <c r="B67" s="389">
        <v>9</v>
      </c>
      <c r="C67" s="145" t="s">
        <v>274</v>
      </c>
      <c r="I67" s="34"/>
      <c r="J67" s="35"/>
      <c r="K67" s="564"/>
      <c r="L67" s="565"/>
      <c r="M67" s="369"/>
      <c r="N67" s="108"/>
      <c r="O67" s="365"/>
      <c r="P67" s="369"/>
      <c r="R67" s="365"/>
      <c r="S67" s="369"/>
    </row>
    <row r="68" spans="1:19">
      <c r="A68" s="389"/>
      <c r="B68" s="389">
        <v>10</v>
      </c>
      <c r="C68" s="145" t="s">
        <v>275</v>
      </c>
      <c r="I68" s="34"/>
      <c r="J68" s="370"/>
      <c r="K68" s="584"/>
      <c r="L68" s="585"/>
      <c r="M68" s="369"/>
      <c r="N68" s="108"/>
      <c r="O68" s="365"/>
      <c r="P68" s="369"/>
      <c r="R68" s="365"/>
      <c r="S68" s="369"/>
    </row>
    <row r="69" spans="1:19">
      <c r="A69" s="389"/>
      <c r="B69" s="389">
        <v>11</v>
      </c>
      <c r="C69" s="145" t="s">
        <v>276</v>
      </c>
      <c r="I69" s="34">
        <v>131</v>
      </c>
      <c r="J69" s="35"/>
      <c r="K69" s="564"/>
      <c r="L69" s="565"/>
      <c r="M69" s="369"/>
      <c r="N69" s="108"/>
      <c r="O69" s="365"/>
      <c r="P69" s="369"/>
      <c r="R69" s="365"/>
      <c r="S69" s="369"/>
    </row>
    <row r="70" spans="1:19">
      <c r="A70" s="389"/>
      <c r="B70" s="389">
        <v>12</v>
      </c>
      <c r="C70" s="145" t="s">
        <v>277</v>
      </c>
      <c r="I70" s="34"/>
      <c r="J70" s="35"/>
      <c r="K70" s="564"/>
      <c r="L70" s="565"/>
      <c r="M70" s="369"/>
      <c r="N70" s="108"/>
      <c r="O70" s="365"/>
      <c r="P70" s="369"/>
      <c r="R70" s="365"/>
      <c r="S70" s="369"/>
    </row>
    <row r="71" spans="1:19">
      <c r="A71" s="389"/>
      <c r="B71" s="389">
        <v>13</v>
      </c>
      <c r="C71" s="145" t="s">
        <v>278</v>
      </c>
      <c r="I71" s="34"/>
      <c r="J71" s="35"/>
      <c r="K71" s="564"/>
      <c r="L71" s="565"/>
      <c r="M71" s="369"/>
      <c r="N71" s="108"/>
      <c r="O71" s="365"/>
      <c r="P71" s="369"/>
      <c r="R71" s="365"/>
      <c r="S71" s="369"/>
    </row>
    <row r="72" spans="1:19">
      <c r="A72" s="389"/>
      <c r="B72" s="389">
        <v>14</v>
      </c>
      <c r="C72" s="145" t="s">
        <v>279</v>
      </c>
      <c r="I72" s="34"/>
      <c r="J72" s="35"/>
      <c r="K72" s="564"/>
      <c r="L72" s="565"/>
      <c r="M72" s="369"/>
      <c r="N72" s="108"/>
      <c r="O72" s="365"/>
      <c r="P72" s="369"/>
      <c r="R72" s="365"/>
      <c r="S72" s="369"/>
    </row>
    <row r="73" spans="1:19">
      <c r="A73" s="389"/>
      <c r="B73" s="389">
        <v>15</v>
      </c>
      <c r="C73" s="121" t="s">
        <v>444</v>
      </c>
      <c r="D73" s="121"/>
      <c r="E73" s="121"/>
      <c r="F73" s="121"/>
      <c r="G73" s="121"/>
      <c r="I73" s="34">
        <v>1675</v>
      </c>
      <c r="J73" s="35"/>
      <c r="K73" s="564"/>
      <c r="L73" s="565"/>
      <c r="M73" s="369"/>
      <c r="N73" s="108"/>
      <c r="O73" s="108"/>
      <c r="P73" s="369"/>
      <c r="R73" s="369"/>
      <c r="S73" s="369"/>
    </row>
    <row r="74" spans="1:19">
      <c r="A74" s="389"/>
      <c r="B74" s="389">
        <v>16</v>
      </c>
      <c r="C74" s="371" t="s">
        <v>445</v>
      </c>
      <c r="D74" s="191"/>
      <c r="E74" s="191"/>
      <c r="I74" s="34">
        <v>9</v>
      </c>
      <c r="J74" s="35"/>
      <c r="K74" s="564"/>
      <c r="L74" s="565"/>
      <c r="M74" s="369"/>
      <c r="N74" s="108"/>
      <c r="O74" s="365"/>
      <c r="P74" s="369"/>
      <c r="R74" s="365"/>
      <c r="S74" s="369"/>
    </row>
    <row r="75" spans="1:19">
      <c r="A75" s="389"/>
      <c r="B75" s="389">
        <v>17</v>
      </c>
      <c r="C75" t="s">
        <v>280</v>
      </c>
      <c r="D75" s="191"/>
      <c r="E75" s="191"/>
      <c r="I75" s="368">
        <f>SUM(I59:I74)</f>
        <v>3584</v>
      </c>
      <c r="J75" s="372">
        <f>SUM(J59:J74)</f>
        <v>0</v>
      </c>
      <c r="K75" s="567">
        <f>SUM(K59:K74)</f>
        <v>0</v>
      </c>
      <c r="L75" s="568"/>
      <c r="M75" s="369"/>
      <c r="N75" s="108"/>
      <c r="O75" s="108"/>
      <c r="P75" s="369"/>
      <c r="R75" s="369"/>
      <c r="S75" s="369"/>
    </row>
    <row r="76" spans="1:19" ht="14.25" customHeight="1">
      <c r="A76" s="389"/>
      <c r="B76" s="373" t="s">
        <v>281</v>
      </c>
      <c r="C76" s="145" t="s">
        <v>282</v>
      </c>
      <c r="D76" s="145"/>
      <c r="E76" s="145"/>
      <c r="F76" s="145"/>
      <c r="G76" s="145"/>
      <c r="H76" s="145"/>
      <c r="I76" s="374"/>
      <c r="J76" s="375"/>
      <c r="K76" s="376"/>
      <c r="L76" s="376"/>
      <c r="M76" s="377"/>
      <c r="N76" s="378"/>
      <c r="O76" s="108"/>
      <c r="P76" s="369"/>
      <c r="R76" s="369"/>
      <c r="S76" s="369"/>
    </row>
    <row r="77" spans="1:19" ht="14.25" customHeight="1">
      <c r="A77" s="389"/>
      <c r="B77" s="373" t="s">
        <v>283</v>
      </c>
      <c r="C77" s="145" t="s">
        <v>284</v>
      </c>
      <c r="D77" s="145"/>
      <c r="E77" s="145"/>
      <c r="F77" s="145"/>
      <c r="G77" s="145"/>
      <c r="H77" s="145"/>
      <c r="I77" s="374"/>
      <c r="J77" s="375"/>
      <c r="K77" s="376"/>
      <c r="L77" s="376"/>
      <c r="M77" s="377"/>
      <c r="N77" s="378"/>
      <c r="O77" s="108"/>
      <c r="P77" s="369"/>
      <c r="R77" s="369"/>
      <c r="S77" s="369"/>
    </row>
    <row r="78" spans="1:19">
      <c r="A78" s="389"/>
      <c r="B78" s="373" t="s">
        <v>285</v>
      </c>
      <c r="C78" s="509" t="s">
        <v>286</v>
      </c>
      <c r="D78" s="509"/>
      <c r="E78" s="509"/>
      <c r="F78" s="509"/>
      <c r="G78" s="509"/>
      <c r="H78" s="509"/>
      <c r="I78" s="509"/>
      <c r="J78" s="509"/>
      <c r="K78" s="509"/>
      <c r="L78" s="509"/>
      <c r="M78" s="509"/>
      <c r="N78" s="509"/>
      <c r="O78" s="108"/>
      <c r="P78" s="369"/>
      <c r="R78" s="369"/>
      <c r="S78" s="369"/>
    </row>
    <row r="79" spans="1:19">
      <c r="A79" s="389"/>
      <c r="B79" s="265"/>
      <c r="C79" s="509"/>
      <c r="D79" s="509"/>
      <c r="E79" s="509"/>
      <c r="F79" s="509"/>
      <c r="G79" s="509"/>
      <c r="H79" s="509"/>
      <c r="I79" s="509"/>
      <c r="J79" s="509"/>
      <c r="K79" s="509"/>
      <c r="L79" s="509"/>
      <c r="M79" s="509"/>
      <c r="N79" s="509"/>
      <c r="O79" s="108"/>
      <c r="P79" s="369"/>
      <c r="R79" s="369"/>
      <c r="S79" s="369"/>
    </row>
    <row r="80" spans="1:19" ht="12.75" customHeight="1">
      <c r="A80" s="389"/>
      <c r="B80" s="373" t="s">
        <v>287</v>
      </c>
      <c r="C80" s="569" t="s">
        <v>456</v>
      </c>
      <c r="D80" s="569"/>
      <c r="E80" s="569"/>
      <c r="F80" s="569"/>
      <c r="G80" s="569"/>
      <c r="H80" s="569"/>
      <c r="I80" s="569"/>
      <c r="J80" s="569"/>
      <c r="K80" s="569"/>
      <c r="L80" s="569"/>
      <c r="M80" s="569"/>
      <c r="N80" s="569"/>
      <c r="O80" s="569"/>
      <c r="P80" s="369"/>
      <c r="R80" s="369"/>
      <c r="S80" s="369"/>
    </row>
    <row r="81" spans="1:19" ht="13.5" customHeight="1">
      <c r="C81" s="569"/>
      <c r="D81" s="569"/>
      <c r="E81" s="569"/>
      <c r="F81" s="569"/>
      <c r="G81" s="569"/>
      <c r="H81" s="569"/>
      <c r="I81" s="569"/>
      <c r="J81" s="569"/>
      <c r="K81" s="569"/>
      <c r="L81" s="569"/>
      <c r="M81" s="569"/>
      <c r="N81" s="569"/>
      <c r="O81" s="569"/>
      <c r="P81" s="379"/>
      <c r="Q81" s="379"/>
      <c r="R81" s="379"/>
      <c r="S81" s="379"/>
    </row>
    <row r="82" spans="1:19" ht="15.75">
      <c r="A82" s="364"/>
      <c r="B82" s="373" t="s">
        <v>288</v>
      </c>
      <c r="C82" s="145" t="s">
        <v>490</v>
      </c>
      <c r="D82" s="379"/>
      <c r="E82" s="379"/>
      <c r="F82" s="379"/>
      <c r="G82" s="379"/>
      <c r="H82" s="379"/>
      <c r="I82" s="379"/>
      <c r="J82" s="379"/>
      <c r="K82" s="379"/>
      <c r="L82" s="379"/>
      <c r="M82" s="379"/>
      <c r="N82" s="379"/>
      <c r="O82" s="379"/>
      <c r="P82" s="379"/>
      <c r="Q82" s="379"/>
      <c r="R82" s="379"/>
      <c r="S82" s="379"/>
    </row>
    <row r="83" spans="1:19" ht="15.75">
      <c r="A83" s="364"/>
      <c r="D83" s="380"/>
      <c r="E83" s="380"/>
      <c r="F83" s="380"/>
      <c r="G83" s="380"/>
      <c r="H83" s="380"/>
      <c r="I83" s="380"/>
      <c r="J83" s="380"/>
      <c r="K83" s="380"/>
      <c r="L83" s="380"/>
      <c r="M83" s="380"/>
      <c r="N83" s="380"/>
      <c r="O83" s="380"/>
      <c r="P83" s="380"/>
      <c r="Q83" s="379"/>
      <c r="R83" s="379"/>
      <c r="S83" s="379"/>
    </row>
    <row r="84" spans="1:19" ht="16.5" thickBot="1">
      <c r="A84" s="364" t="s">
        <v>289</v>
      </c>
    </row>
    <row r="85" spans="1:19" ht="13.5" thickBot="1">
      <c r="B85" s="381">
        <v>1</v>
      </c>
      <c r="C85" s="30"/>
      <c r="D85" s="498" t="s">
        <v>290</v>
      </c>
      <c r="E85" s="498"/>
      <c r="F85" s="498"/>
      <c r="G85" s="498"/>
      <c r="H85" s="498"/>
      <c r="I85" s="498"/>
      <c r="J85" s="498"/>
      <c r="K85" s="498"/>
      <c r="L85" s="498"/>
      <c r="M85" s="405"/>
      <c r="N85" s="382"/>
      <c r="O85" s="361"/>
      <c r="P85" s="361"/>
    </row>
    <row r="86" spans="1:19" ht="78" customHeight="1">
      <c r="B86" s="381"/>
      <c r="C86" s="566" t="s">
        <v>491</v>
      </c>
      <c r="D86" s="566"/>
      <c r="E86" s="566"/>
      <c r="F86" s="566"/>
      <c r="G86" s="566"/>
      <c r="H86" s="566"/>
      <c r="I86" s="566"/>
      <c r="J86" s="566"/>
      <c r="M86" s="405"/>
      <c r="N86" s="382"/>
    </row>
    <row r="87" spans="1:19">
      <c r="B87" s="381"/>
      <c r="C87" s="134"/>
      <c r="D87" s="134"/>
      <c r="E87" s="134"/>
      <c r="F87" s="134"/>
      <c r="G87" s="134"/>
      <c r="H87" s="134"/>
      <c r="M87" s="405"/>
      <c r="N87" s="382"/>
    </row>
    <row r="88" spans="1:19">
      <c r="B88" s="381">
        <v>2</v>
      </c>
      <c r="C88" t="s">
        <v>291</v>
      </c>
      <c r="M88" s="405" t="s">
        <v>6</v>
      </c>
      <c r="N88" s="31"/>
    </row>
    <row r="89" spans="1:19" ht="138.75" customHeight="1">
      <c r="B89" s="381"/>
      <c r="C89" s="566" t="s">
        <v>292</v>
      </c>
      <c r="D89" s="566"/>
      <c r="E89" s="566"/>
      <c r="F89" s="566"/>
      <c r="G89" s="566"/>
      <c r="H89" s="566"/>
      <c r="I89" s="566"/>
      <c r="J89" s="566"/>
      <c r="M89" s="405"/>
      <c r="N89" s="382"/>
    </row>
    <row r="90" spans="1:19" ht="165" customHeight="1">
      <c r="B90" s="381"/>
      <c r="C90" s="566" t="s">
        <v>293</v>
      </c>
      <c r="D90" s="566"/>
      <c r="E90" s="566"/>
      <c r="F90" s="566"/>
      <c r="G90" s="566"/>
      <c r="H90" s="566"/>
      <c r="I90" s="566"/>
      <c r="J90" s="566"/>
      <c r="K90" s="112"/>
      <c r="L90" s="112"/>
      <c r="M90" s="405"/>
      <c r="N90" s="382"/>
    </row>
    <row r="91" spans="1:19">
      <c r="B91" s="381"/>
      <c r="C91" s="134"/>
      <c r="D91" s="134"/>
      <c r="E91" s="134"/>
      <c r="F91" s="134"/>
      <c r="G91" s="134"/>
      <c r="H91" s="134"/>
      <c r="M91" s="405"/>
      <c r="N91" s="382"/>
    </row>
    <row r="92" spans="1:19">
      <c r="B92" s="381">
        <v>3</v>
      </c>
      <c r="C92" t="s">
        <v>492</v>
      </c>
      <c r="M92" s="405" t="s">
        <v>6</v>
      </c>
      <c r="N92" s="31">
        <v>37639</v>
      </c>
    </row>
    <row r="93" spans="1:19" ht="98.25" customHeight="1">
      <c r="B93" s="381"/>
      <c r="C93" s="566" t="s">
        <v>493</v>
      </c>
      <c r="D93" s="566"/>
      <c r="E93" s="566"/>
      <c r="F93" s="566"/>
      <c r="G93" s="566"/>
      <c r="H93" s="566"/>
      <c r="I93" s="566"/>
      <c r="J93" s="566"/>
      <c r="M93" s="405"/>
      <c r="N93" s="382"/>
    </row>
    <row r="94" spans="1:19">
      <c r="B94" s="381"/>
      <c r="C94" s="134"/>
      <c r="D94" s="134"/>
      <c r="E94" s="134"/>
      <c r="F94" s="134"/>
      <c r="M94" s="405"/>
      <c r="N94" s="382"/>
    </row>
    <row r="95" spans="1:19" ht="14.25" customHeight="1">
      <c r="B95" s="210">
        <v>4</v>
      </c>
      <c r="C95" t="s">
        <v>494</v>
      </c>
      <c r="M95" s="405" t="s">
        <v>6</v>
      </c>
      <c r="N95" s="31"/>
    </row>
    <row r="96" spans="1:19" ht="53.25" customHeight="1">
      <c r="C96" s="566" t="s">
        <v>495</v>
      </c>
      <c r="D96" s="566"/>
      <c r="E96" s="566"/>
      <c r="F96" s="566"/>
      <c r="G96" s="566"/>
      <c r="H96" s="566"/>
      <c r="I96" s="566"/>
      <c r="J96" s="566"/>
    </row>
    <row r="97" spans="1:28">
      <c r="C97" s="396"/>
      <c r="D97" s="396"/>
      <c r="E97" s="396"/>
      <c r="F97" s="396"/>
      <c r="G97" s="396"/>
      <c r="H97" s="396"/>
      <c r="I97" s="396"/>
      <c r="J97" s="396"/>
    </row>
    <row r="98" spans="1:28" s="191" customFormat="1">
      <c r="B98" s="210">
        <v>5</v>
      </c>
      <c r="C98" t="s">
        <v>294</v>
      </c>
      <c r="M98" s="405" t="s">
        <v>6</v>
      </c>
      <c r="N98" s="31"/>
    </row>
    <row r="99" spans="1:28" s="191" customFormat="1" ht="85.5" customHeight="1">
      <c r="C99" s="566" t="s">
        <v>295</v>
      </c>
      <c r="D99" s="566"/>
      <c r="E99" s="566"/>
      <c r="F99" s="566"/>
      <c r="G99" s="566"/>
      <c r="H99" s="566"/>
      <c r="I99" s="566"/>
      <c r="J99" s="566"/>
    </row>
    <row r="100" spans="1:28" ht="13.5" customHeight="1"/>
    <row r="101" spans="1:28" ht="15.75">
      <c r="A101" s="562" t="s">
        <v>537</v>
      </c>
      <c r="B101" s="562"/>
      <c r="C101" s="562"/>
      <c r="D101" s="562"/>
      <c r="E101" s="562"/>
      <c r="F101" s="562"/>
      <c r="G101" s="562"/>
      <c r="H101" s="562"/>
      <c r="I101" s="562"/>
      <c r="J101" s="562"/>
      <c r="K101" s="562"/>
      <c r="L101" s="562"/>
      <c r="M101" s="562"/>
      <c r="N101" s="562"/>
      <c r="O101" s="562"/>
      <c r="P101" s="442"/>
      <c r="U101" s="191"/>
      <c r="V101" s="361"/>
      <c r="W101" s="147"/>
      <c r="X101" s="147"/>
      <c r="Y101" s="147"/>
      <c r="Z101" s="147"/>
      <c r="AA101" s="147"/>
      <c r="AB101" s="147"/>
    </row>
    <row r="102" spans="1:28">
      <c r="B102" s="144"/>
      <c r="C102" s="454"/>
      <c r="D102" s="454"/>
      <c r="E102" s="454"/>
      <c r="U102" s="191"/>
      <c r="V102" s="361"/>
      <c r="W102" s="147"/>
      <c r="X102" s="147"/>
      <c r="Y102" s="147"/>
      <c r="Z102" s="147"/>
      <c r="AA102" s="147"/>
      <c r="AB102" s="147"/>
    </row>
    <row r="103" spans="1:28">
      <c r="B103" s="381">
        <v>1</v>
      </c>
      <c r="C103" t="s">
        <v>510</v>
      </c>
      <c r="M103" s="405" t="s">
        <v>6</v>
      </c>
      <c r="N103" s="31"/>
      <c r="U103" s="191"/>
      <c r="V103" s="455"/>
      <c r="W103" s="147"/>
      <c r="X103" s="147"/>
      <c r="Y103" s="147"/>
      <c r="Z103" s="147"/>
      <c r="AA103" s="147"/>
      <c r="AB103" s="147"/>
    </row>
    <row r="104" spans="1:28" ht="135" customHeight="1">
      <c r="C104" s="563" t="s">
        <v>538</v>
      </c>
      <c r="D104" s="563"/>
      <c r="E104" s="563"/>
      <c r="F104" s="563"/>
      <c r="G104" s="563"/>
      <c r="H104" s="563"/>
      <c r="I104" s="563"/>
      <c r="J104" s="563"/>
      <c r="U104" s="191"/>
      <c r="V104" s="361"/>
      <c r="W104" s="147"/>
      <c r="X104" s="147"/>
      <c r="Y104" s="147"/>
      <c r="Z104" s="147"/>
      <c r="AA104" s="147"/>
      <c r="AB104" s="147"/>
    </row>
    <row r="105" spans="1:28">
      <c r="U105" s="191"/>
      <c r="V105" s="455"/>
      <c r="W105" s="147"/>
      <c r="X105" s="147"/>
      <c r="Y105" s="147"/>
      <c r="Z105" s="147"/>
      <c r="AA105" s="147"/>
      <c r="AB105" s="147"/>
    </row>
    <row r="106" spans="1:28" ht="15.75">
      <c r="A106" s="562" t="s">
        <v>539</v>
      </c>
      <c r="B106" s="562"/>
      <c r="C106" s="562"/>
      <c r="D106" s="562"/>
      <c r="E106" s="562"/>
      <c r="F106" s="562"/>
      <c r="G106" s="562"/>
      <c r="H106" s="562"/>
      <c r="I106" s="562"/>
      <c r="J106" s="562"/>
      <c r="K106" s="562"/>
      <c r="L106" s="562"/>
      <c r="M106" s="562"/>
      <c r="N106" s="562"/>
      <c r="O106" s="562"/>
      <c r="P106" s="562"/>
      <c r="U106" s="191"/>
      <c r="V106" s="455"/>
      <c r="W106" s="147"/>
      <c r="X106" s="147"/>
      <c r="Y106" s="147"/>
      <c r="Z106" s="147"/>
      <c r="AA106" s="147"/>
      <c r="AB106" s="147"/>
    </row>
    <row r="107" spans="1:28">
      <c r="U107" s="191"/>
      <c r="V107" s="455"/>
      <c r="W107" s="147"/>
      <c r="X107" s="147"/>
      <c r="Y107" s="147"/>
      <c r="Z107" s="147"/>
      <c r="AA107" s="147"/>
      <c r="AB107" s="147"/>
    </row>
    <row r="108" spans="1:28">
      <c r="B108" s="381">
        <v>1</v>
      </c>
      <c r="C108" t="s">
        <v>511</v>
      </c>
      <c r="M108" s="405" t="s">
        <v>6</v>
      </c>
      <c r="N108" s="31"/>
      <c r="U108" s="191"/>
      <c r="V108" s="190"/>
      <c r="W108" s="147"/>
      <c r="X108" s="147"/>
      <c r="Y108" s="147"/>
      <c r="Z108" s="147"/>
      <c r="AA108" s="147"/>
      <c r="AB108" s="147"/>
    </row>
    <row r="109" spans="1:28" ht="70.5" customHeight="1">
      <c r="C109" s="563" t="s">
        <v>540</v>
      </c>
      <c r="D109" s="563"/>
      <c r="E109" s="563"/>
      <c r="F109" s="563"/>
      <c r="G109" s="563"/>
      <c r="H109" s="563"/>
      <c r="I109" s="563"/>
      <c r="J109" s="563"/>
      <c r="V109" s="147" t="s">
        <v>439</v>
      </c>
      <c r="W109" s="147"/>
      <c r="X109" s="147"/>
      <c r="Y109" s="147"/>
      <c r="Z109" s="147"/>
      <c r="AA109" s="147"/>
      <c r="AB109" s="147"/>
    </row>
    <row r="110" spans="1:28">
      <c r="B110" s="144"/>
      <c r="C110" s="509"/>
      <c r="D110" s="509"/>
      <c r="E110" s="509"/>
      <c r="F110" s="509"/>
      <c r="G110" s="509"/>
      <c r="H110" s="509"/>
      <c r="I110" s="509"/>
      <c r="J110" s="509"/>
      <c r="V110" s="147" t="s">
        <v>440</v>
      </c>
      <c r="W110" s="147"/>
      <c r="X110" s="147"/>
      <c r="Y110" s="147"/>
      <c r="Z110" s="147"/>
      <c r="AA110" s="147"/>
      <c r="AB110" s="147"/>
    </row>
    <row r="111" spans="1:28" ht="15.75">
      <c r="A111" s="562" t="s">
        <v>541</v>
      </c>
      <c r="B111" s="562"/>
      <c r="C111" s="562"/>
      <c r="D111" s="562"/>
      <c r="E111" s="562"/>
      <c r="F111" s="562"/>
      <c r="G111" s="562"/>
      <c r="H111" s="562"/>
      <c r="I111" s="562"/>
      <c r="J111" s="562"/>
      <c r="K111" s="562"/>
      <c r="L111" s="562"/>
      <c r="M111" s="562"/>
      <c r="N111" s="562"/>
      <c r="O111" s="562"/>
      <c r="P111" s="442"/>
      <c r="V111" s="147" t="s">
        <v>441</v>
      </c>
      <c r="W111" s="147"/>
      <c r="X111" s="147"/>
      <c r="Y111" s="147"/>
      <c r="Z111" s="147"/>
      <c r="AA111" s="147"/>
      <c r="AB111" s="147"/>
    </row>
    <row r="112" spans="1:28">
      <c r="V112" s="147" t="s">
        <v>442</v>
      </c>
      <c r="W112" s="147"/>
      <c r="X112" s="147"/>
      <c r="Y112" s="147"/>
      <c r="Z112" s="147"/>
      <c r="AA112" s="147"/>
      <c r="AB112" s="147"/>
    </row>
    <row r="113" spans="2:14">
      <c r="B113" s="381">
        <v>1</v>
      </c>
      <c r="C113" t="s">
        <v>512</v>
      </c>
      <c r="M113" s="405" t="s">
        <v>6</v>
      </c>
      <c r="N113" s="31"/>
    </row>
    <row r="114" spans="2:14" ht="72.75" customHeight="1">
      <c r="C114" s="563" t="s">
        <v>542</v>
      </c>
      <c r="D114" s="563"/>
      <c r="E114" s="563"/>
      <c r="F114" s="563"/>
      <c r="G114" s="563"/>
      <c r="H114" s="563"/>
      <c r="I114" s="563"/>
      <c r="J114" s="563"/>
    </row>
  </sheetData>
  <sheetProtection formatColumns="0" formatRows="0"/>
  <mergeCells count="105">
    <mergeCell ref="D29:I29"/>
    <mergeCell ref="F23:I23"/>
    <mergeCell ref="F18:I18"/>
    <mergeCell ref="F19:I19"/>
    <mergeCell ref="F20:I20"/>
    <mergeCell ref="F21:I21"/>
    <mergeCell ref="F22:I22"/>
    <mergeCell ref="L48:M48"/>
    <mergeCell ref="I47:J47"/>
    <mergeCell ref="I48:J48"/>
    <mergeCell ref="F46:G46"/>
    <mergeCell ref="D30:I30"/>
    <mergeCell ref="D31:I31"/>
    <mergeCell ref="K37:M37"/>
    <mergeCell ref="D32:I32"/>
    <mergeCell ref="I41:J41"/>
    <mergeCell ref="L47:M47"/>
    <mergeCell ref="C17:E17"/>
    <mergeCell ref="Q25:AC25"/>
    <mergeCell ref="L41:M41"/>
    <mergeCell ref="J29:L29"/>
    <mergeCell ref="J30:L30"/>
    <mergeCell ref="J31:L31"/>
    <mergeCell ref="L38:M38"/>
    <mergeCell ref="M31:N31"/>
    <mergeCell ref="L39:M39"/>
    <mergeCell ref="M28:N28"/>
    <mergeCell ref="I38:J38"/>
    <mergeCell ref="I39:J39"/>
    <mergeCell ref="B27:N27"/>
    <mergeCell ref="B35:N35"/>
    <mergeCell ref="B40:E40"/>
    <mergeCell ref="I40:J40"/>
    <mergeCell ref="F38:G38"/>
    <mergeCell ref="L40:M40"/>
    <mergeCell ref="B39:E39"/>
    <mergeCell ref="H37:J37"/>
    <mergeCell ref="F37:G37"/>
    <mergeCell ref="B37:E37"/>
    <mergeCell ref="B38:E38"/>
    <mergeCell ref="B41:E41"/>
    <mergeCell ref="K68:L68"/>
    <mergeCell ref="A4:N4"/>
    <mergeCell ref="A5:C5"/>
    <mergeCell ref="E5:G5"/>
    <mergeCell ref="C6:E6"/>
    <mergeCell ref="C8:E8"/>
    <mergeCell ref="M29:N29"/>
    <mergeCell ref="M30:N30"/>
    <mergeCell ref="B44:N44"/>
    <mergeCell ref="F6:I6"/>
    <mergeCell ref="F8:I8"/>
    <mergeCell ref="F10:I11"/>
    <mergeCell ref="F15:I15"/>
    <mergeCell ref="F17:I17"/>
    <mergeCell ref="C23:E23"/>
    <mergeCell ref="C18:E18"/>
    <mergeCell ref="C19:E19"/>
    <mergeCell ref="C20:E20"/>
    <mergeCell ref="C21:E21"/>
    <mergeCell ref="C22:E22"/>
    <mergeCell ref="C10:E11"/>
    <mergeCell ref="C13:J13"/>
    <mergeCell ref="C15:E15"/>
    <mergeCell ref="C16:E16"/>
    <mergeCell ref="K67:L67"/>
    <mergeCell ref="K64:L64"/>
    <mergeCell ref="K60:L60"/>
    <mergeCell ref="H46:J46"/>
    <mergeCell ref="L50:M50"/>
    <mergeCell ref="K46:M46"/>
    <mergeCell ref="K58:L58"/>
    <mergeCell ref="B56:N56"/>
    <mergeCell ref="K63:L63"/>
    <mergeCell ref="I50:J50"/>
    <mergeCell ref="K65:L65"/>
    <mergeCell ref="I49:J49"/>
    <mergeCell ref="K59:L59"/>
    <mergeCell ref="K62:L62"/>
    <mergeCell ref="L49:M49"/>
    <mergeCell ref="K61:L61"/>
    <mergeCell ref="A106:P106"/>
    <mergeCell ref="C109:J109"/>
    <mergeCell ref="A111:O111"/>
    <mergeCell ref="C114:J114"/>
    <mergeCell ref="A101:O101"/>
    <mergeCell ref="C104:J104"/>
    <mergeCell ref="C110:J110"/>
    <mergeCell ref="K66:L66"/>
    <mergeCell ref="C90:J90"/>
    <mergeCell ref="K72:L72"/>
    <mergeCell ref="C89:J89"/>
    <mergeCell ref="C86:J86"/>
    <mergeCell ref="C78:N79"/>
    <mergeCell ref="D85:L85"/>
    <mergeCell ref="K71:L71"/>
    <mergeCell ref="C99:J99"/>
    <mergeCell ref="K69:L69"/>
    <mergeCell ref="C96:J96"/>
    <mergeCell ref="K74:L74"/>
    <mergeCell ref="K75:L75"/>
    <mergeCell ref="C80:O81"/>
    <mergeCell ref="C93:J93"/>
    <mergeCell ref="K70:L70"/>
    <mergeCell ref="K73:L73"/>
  </mergeCells>
  <conditionalFormatting sqref="F15">
    <cfRule type="expression" dxfId="0" priority="1">
      <formula>$C$61&lt;&gt;""</formula>
    </cfRule>
  </conditionalFormatting>
  <dataValidations count="7">
    <dataValidation type="list" allowBlank="1" showInputMessage="1" showErrorMessage="1" sqref="C85" xr:uid="{00000000-0002-0000-0800-000000000000}">
      <formula1>"X"</formula1>
    </dataValidation>
    <dataValidation type="list" allowBlank="1" showInputMessage="1" showErrorMessage="1" sqref="B29:B32" xr:uid="{00000000-0002-0000-0800-000001000000}">
      <formula1>$Q$29:$Q$31</formula1>
    </dataValidation>
    <dataValidation type="custom" allowBlank="1" showInputMessage="1" showErrorMessage="1" errorTitle="Amount should be negative" error="Amount must be negative. Please use parentheses or minus sign to enter the reduction." prompt="Leave blank for budget adoption. Enter amount in parentheses." sqref="N98" xr:uid="{00000000-0002-0000-0800-000002000000}">
      <formula1>N98&lt;=0</formula1>
    </dataValidation>
    <dataValidation type="list" allowBlank="1" showInputMessage="1" showErrorMessage="1" sqref="F15:I15" xr:uid="{00000000-0002-0000-0800-000003000000}">
      <formula1>$V$108:$V$112</formula1>
    </dataValidation>
    <dataValidation type="list" allowBlank="1" showInputMessage="1" showErrorMessage="1" sqref="F10:I11" xr:uid="{00000000-0002-0000-0800-000004000000}">
      <formula1>"Yes,No"</formula1>
    </dataValidation>
    <dataValidation type="list" allowBlank="1" showInputMessage="1" showErrorMessage="1" sqref="F6:I6" xr:uid="{00000000-0002-0000-0800-000005000000}">
      <formula1>$J$6:$W$6</formula1>
    </dataValidation>
    <dataValidation allowBlank="1" showInputMessage="1" showErrorMessage="1" prompt="Leave blank for budget adoption" sqref="N108 N113" xr:uid="{AE95EDFD-C996-4795-BE8D-57D2603BC22F}"/>
  </dataValidations>
  <pageMargins left="0.7" right="0.7" top="0.75" bottom="0.75" header="0.3" footer="0.3"/>
  <pageSetup scale="28" fitToWidth="0" orientation="portrait" r:id="rId1"/>
  <headerFooter>
    <oddFooter>&amp;L&amp;"Arial,Bold"Rev. 5/26 Arizona Department of Education and Auditor General&amp;R&amp;"Arial,Bold"Data Entry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AE90"/>
  <sheetViews>
    <sheetView showGridLines="0" topLeftCell="A53" workbookViewId="0">
      <selection sqref="A1:D1"/>
    </sheetView>
  </sheetViews>
  <sheetFormatPr defaultColWidth="11" defaultRowHeight="12"/>
  <cols>
    <col min="1" max="1" width="3.28515625" style="38" customWidth="1"/>
    <col min="2" max="2" width="2.28515625" style="38" customWidth="1"/>
    <col min="3" max="3" width="4" style="38" customWidth="1"/>
    <col min="4" max="4" width="4.28515625" style="38" customWidth="1"/>
    <col min="5" max="5" width="7.5703125" style="38" customWidth="1"/>
    <col min="6" max="7" width="11" style="38" customWidth="1"/>
    <col min="8" max="9" width="11.5703125" style="38" customWidth="1"/>
    <col min="10" max="10" width="12.5703125" style="38" customWidth="1"/>
    <col min="11" max="11" width="2.5703125" style="38" customWidth="1"/>
    <col min="12" max="12" width="14" style="38" customWidth="1"/>
    <col min="13" max="13" width="1.5703125" style="38" customWidth="1"/>
    <col min="14" max="14" width="14.5703125" style="38" customWidth="1"/>
    <col min="15" max="15" width="11" style="38" customWidth="1"/>
    <col min="16" max="16" width="7.5703125" style="38" customWidth="1"/>
    <col min="17" max="18" width="11" style="38" customWidth="1"/>
    <col min="19" max="19" width="7.28515625" style="38" customWidth="1"/>
    <col min="20" max="22" width="11" style="38" customWidth="1"/>
    <col min="23" max="23" width="7.28515625" style="38" customWidth="1"/>
    <col min="24" max="26" width="11" style="38" customWidth="1"/>
    <col min="27" max="27" width="7.28515625" style="38" customWidth="1"/>
    <col min="28" max="33" width="11" style="38" customWidth="1"/>
    <col min="34" max="16384" width="11" style="38"/>
  </cols>
  <sheetData>
    <row r="1" spans="1:15" ht="15.75" customHeight="1">
      <c r="A1" s="622" t="s">
        <v>0</v>
      </c>
      <c r="B1" s="622"/>
      <c r="C1" s="622"/>
      <c r="D1" s="622"/>
      <c r="E1" s="505" t="str">
        <f>CharterName</f>
        <v>Harvest Power Community Development Group</v>
      </c>
      <c r="F1" s="505"/>
      <c r="G1" s="505"/>
      <c r="H1" s="405" t="s">
        <v>1</v>
      </c>
      <c r="I1" s="406" t="str">
        <f>Cover!M1</f>
        <v>Yuma</v>
      </c>
      <c r="J1" s="622" t="s">
        <v>2</v>
      </c>
      <c r="K1" s="622"/>
      <c r="L1" s="506" t="str">
        <f>CTD</f>
        <v>148760000</v>
      </c>
      <c r="M1" s="506"/>
      <c r="N1" s="36"/>
      <c r="O1" s="37"/>
    </row>
    <row r="2" spans="1:15" ht="15.75" customHeight="1">
      <c r="A2" s="36"/>
      <c r="B2" s="36"/>
      <c r="C2" s="36"/>
      <c r="D2" s="36"/>
      <c r="E2" s="39"/>
      <c r="F2" s="39"/>
      <c r="G2" s="39"/>
      <c r="H2" s="36"/>
      <c r="I2" s="39"/>
      <c r="J2" s="36"/>
      <c r="K2" s="36"/>
      <c r="L2" s="37"/>
      <c r="M2" s="37"/>
      <c r="N2" s="36"/>
      <c r="O2" s="37"/>
    </row>
    <row r="3" spans="1:15" ht="15.75" customHeight="1">
      <c r="A3" s="36"/>
      <c r="B3" s="36"/>
      <c r="C3" s="36"/>
      <c r="D3" s="36"/>
      <c r="E3" s="39"/>
      <c r="F3" s="39"/>
      <c r="G3" s="39"/>
      <c r="H3" s="36"/>
      <c r="I3" s="39"/>
      <c r="J3" s="36"/>
      <c r="K3" s="36"/>
      <c r="L3" s="37"/>
      <c r="M3" s="37"/>
      <c r="N3" s="36"/>
      <c r="O3" s="37"/>
    </row>
    <row r="4" spans="1:15" ht="15.75" customHeight="1">
      <c r="A4" s="36"/>
      <c r="B4" s="36"/>
      <c r="C4" s="36"/>
      <c r="D4" s="36"/>
      <c r="E4" s="39"/>
      <c r="F4" s="39"/>
      <c r="G4" s="39"/>
      <c r="H4" s="36"/>
      <c r="I4" s="39"/>
      <c r="J4" s="36"/>
      <c r="K4" s="36"/>
      <c r="L4" s="37"/>
      <c r="M4" s="37"/>
      <c r="N4" s="36"/>
      <c r="O4" s="37"/>
    </row>
    <row r="5" spans="1:15" ht="15.75" customHeight="1">
      <c r="A5" s="4" t="s">
        <v>296</v>
      </c>
      <c r="B5" s="36"/>
      <c r="C5" s="3"/>
      <c r="D5" s="3"/>
      <c r="E5" s="3"/>
      <c r="F5" s="3"/>
      <c r="G5" s="3"/>
      <c r="H5" s="3"/>
      <c r="I5" s="39"/>
      <c r="J5" s="36"/>
      <c r="K5" s="36"/>
      <c r="L5" s="37"/>
      <c r="M5" s="37"/>
      <c r="N5" s="36"/>
      <c r="O5" s="37"/>
    </row>
    <row r="6" spans="1:15" ht="15.75" customHeight="1">
      <c r="A6" s="4"/>
      <c r="B6" s="36"/>
      <c r="C6" s="40" t="s">
        <v>297</v>
      </c>
      <c r="D6" s="41"/>
      <c r="E6" s="41"/>
      <c r="F6" s="41"/>
      <c r="G6" s="41"/>
      <c r="H6" s="41"/>
      <c r="I6" s="42"/>
      <c r="J6" s="43"/>
      <c r="K6" s="43"/>
      <c r="L6" s="44"/>
      <c r="M6" s="44"/>
      <c r="N6" s="43"/>
      <c r="O6" s="37"/>
    </row>
    <row r="7" spans="1:15" ht="15.75" customHeight="1" thickBot="1">
      <c r="A7" s="36"/>
      <c r="B7" s="36"/>
      <c r="C7" s="45" t="s">
        <v>298</v>
      </c>
      <c r="D7" s="45"/>
      <c r="E7" s="46"/>
      <c r="F7" s="46"/>
      <c r="G7" s="46"/>
      <c r="H7" s="46"/>
      <c r="I7" s="47"/>
      <c r="J7" s="48"/>
      <c r="K7" s="49"/>
      <c r="L7" s="50" t="s">
        <v>252</v>
      </c>
      <c r="M7" s="51"/>
      <c r="N7" s="52" t="s">
        <v>253</v>
      </c>
      <c r="O7" s="37"/>
    </row>
    <row r="8" spans="1:15" ht="15.75" customHeight="1" thickTop="1">
      <c r="A8" s="36"/>
      <c r="B8" s="36"/>
      <c r="C8" s="53" t="s">
        <v>299</v>
      </c>
      <c r="D8"/>
      <c r="E8"/>
      <c r="F8" s="54"/>
      <c r="G8" s="54"/>
      <c r="H8" s="54"/>
      <c r="I8" s="39"/>
      <c r="J8" s="36"/>
      <c r="K8" s="55"/>
      <c r="L8"/>
      <c r="M8" s="53"/>
      <c r="N8" s="56"/>
      <c r="O8" s="37"/>
    </row>
    <row r="9" spans="1:15" ht="15.75" customHeight="1" thickBot="1">
      <c r="A9" s="36"/>
      <c r="B9" s="36"/>
      <c r="C9" s="57"/>
      <c r="D9" s="58" t="s">
        <v>300</v>
      </c>
      <c r="E9" s="58"/>
      <c r="F9" s="58"/>
      <c r="G9" s="58"/>
      <c r="H9" s="58"/>
      <c r="I9" s="59"/>
      <c r="J9" s="60"/>
      <c r="K9" s="61"/>
      <c r="L9" s="62">
        <v>1.399</v>
      </c>
      <c r="M9" s="63"/>
      <c r="N9" s="64">
        <v>1.5589999999999999</v>
      </c>
      <c r="O9" s="37"/>
    </row>
    <row r="10" spans="1:15" ht="15.75" customHeight="1" thickTop="1">
      <c r="A10" s="36"/>
      <c r="B10" s="36"/>
      <c r="C10" s="65" t="s">
        <v>301</v>
      </c>
      <c r="D10"/>
      <c r="E10"/>
      <c r="F10" s="66"/>
      <c r="G10" s="66"/>
      <c r="H10" s="66"/>
      <c r="I10" s="39"/>
      <c r="J10" s="36"/>
      <c r="K10" s="67"/>
      <c r="L10" s="68"/>
      <c r="M10" s="53"/>
      <c r="N10" s="69"/>
      <c r="O10" s="37"/>
    </row>
    <row r="11" spans="1:15" ht="15.75" customHeight="1">
      <c r="A11" s="36"/>
      <c r="B11" s="36"/>
      <c r="C11" s="53"/>
      <c r="D11" t="s">
        <v>302</v>
      </c>
      <c r="E11"/>
      <c r="F11"/>
      <c r="G11"/>
      <c r="H11"/>
      <c r="I11" s="39"/>
      <c r="J11" s="36"/>
      <c r="K11" s="400"/>
      <c r="L11" s="70">
        <v>500</v>
      </c>
      <c r="M11" s="71"/>
      <c r="N11" s="72">
        <v>500</v>
      </c>
      <c r="O11" s="37"/>
    </row>
    <row r="12" spans="1:15" ht="15.75" customHeight="1">
      <c r="A12" s="36"/>
      <c r="B12" s="36"/>
      <c r="C12" s="53"/>
      <c r="D12" t="s">
        <v>303</v>
      </c>
      <c r="E12"/>
      <c r="F12"/>
      <c r="G12"/>
      <c r="H12"/>
      <c r="I12" s="39"/>
      <c r="J12" s="36"/>
      <c r="K12" s="400" t="s">
        <v>304</v>
      </c>
      <c r="L12" s="73">
        <f>IF('Data Entry'!I41&gt;99.999,IF('Data Entry'!I41&lt;500,'Data Entry'!I41,0),0)</f>
        <v>0</v>
      </c>
      <c r="M12" s="400" t="s">
        <v>304</v>
      </c>
      <c r="N12" s="74">
        <f>IF('Data Entry'!L41&gt;99.999,IF('Data Entry'!L41&lt;500,'Data Entry'!L41,0),0)</f>
        <v>300</v>
      </c>
      <c r="O12" s="37"/>
    </row>
    <row r="13" spans="1:15" ht="15.75" customHeight="1">
      <c r="A13" s="36"/>
      <c r="B13" s="36"/>
      <c r="C13" s="53"/>
      <c r="D13" t="s">
        <v>305</v>
      </c>
      <c r="E13"/>
      <c r="F13"/>
      <c r="G13"/>
      <c r="H13"/>
      <c r="I13" s="39"/>
      <c r="J13" s="36"/>
      <c r="K13" s="75" t="s">
        <v>259</v>
      </c>
      <c r="L13" s="73">
        <f>IF(L12&gt;0,ROUND(+L11-L12,4),0)</f>
        <v>0</v>
      </c>
      <c r="M13" s="76" t="s">
        <v>259</v>
      </c>
      <c r="N13" s="74">
        <f>IF(N12&gt;0,ROUND(+N11-N12,4),0)</f>
        <v>200</v>
      </c>
      <c r="O13" s="37"/>
    </row>
    <row r="14" spans="1:15" ht="15.75" customHeight="1">
      <c r="A14" s="36"/>
      <c r="B14" s="36"/>
      <c r="C14" s="53"/>
      <c r="D14" t="s">
        <v>306</v>
      </c>
      <c r="E14"/>
      <c r="F14"/>
      <c r="G14"/>
      <c r="H14"/>
      <c r="I14" s="39"/>
      <c r="J14" s="36"/>
      <c r="K14" s="75" t="s">
        <v>239</v>
      </c>
      <c r="L14" s="73">
        <v>2.9999999999999997E-4</v>
      </c>
      <c r="M14" s="75" t="s">
        <v>239</v>
      </c>
      <c r="N14" s="74">
        <v>4.0000000000000002E-4</v>
      </c>
      <c r="O14" s="37"/>
    </row>
    <row r="15" spans="1:15" ht="15.75" customHeight="1">
      <c r="A15" s="36"/>
      <c r="B15" s="36"/>
      <c r="C15" s="53"/>
      <c r="D15" t="s">
        <v>307</v>
      </c>
      <c r="E15"/>
      <c r="F15"/>
      <c r="G15"/>
      <c r="H15"/>
      <c r="I15" s="39"/>
      <c r="J15" s="36"/>
      <c r="K15" s="75" t="s">
        <v>259</v>
      </c>
      <c r="L15" s="73">
        <f>IF(L12&gt;0,ROUND(L13*L14,4),0)</f>
        <v>0</v>
      </c>
      <c r="M15" s="400" t="s">
        <v>259</v>
      </c>
      <c r="N15" s="74">
        <f>IF(N12&gt;0,ROUND(N13*N14,4),0)</f>
        <v>0.08</v>
      </c>
      <c r="O15" s="37"/>
    </row>
    <row r="16" spans="1:15" ht="15.75" customHeight="1">
      <c r="A16" s="36"/>
      <c r="B16" s="36"/>
      <c r="C16" s="53"/>
      <c r="D16" t="s">
        <v>308</v>
      </c>
      <c r="E16"/>
      <c r="F16"/>
      <c r="G16"/>
      <c r="H16"/>
      <c r="I16" s="39"/>
      <c r="J16" s="36"/>
      <c r="K16" s="75" t="s">
        <v>256</v>
      </c>
      <c r="L16" s="73">
        <v>1.278</v>
      </c>
      <c r="M16" s="75" t="s">
        <v>256</v>
      </c>
      <c r="N16" s="74">
        <v>1.3979999999999999</v>
      </c>
      <c r="O16" s="37"/>
    </row>
    <row r="17" spans="1:15" ht="15.75" customHeight="1" thickBot="1">
      <c r="A17" s="36"/>
      <c r="B17" s="36"/>
      <c r="C17" s="57"/>
      <c r="D17" s="58" t="s">
        <v>309</v>
      </c>
      <c r="E17" s="58"/>
      <c r="F17" s="58"/>
      <c r="G17" s="58"/>
      <c r="H17" s="58"/>
      <c r="I17" s="59"/>
      <c r="J17" s="60"/>
      <c r="K17" s="77" t="s">
        <v>259</v>
      </c>
      <c r="L17" s="78">
        <f>IF(L12&gt;0,ROUND(+L15+L16,4),0)</f>
        <v>0</v>
      </c>
      <c r="M17" s="63" t="s">
        <v>259</v>
      </c>
      <c r="N17" s="79">
        <f>IF(N12&gt;0,ROUND(+N15+N16,4),0)</f>
        <v>1.478</v>
      </c>
      <c r="O17" s="37"/>
    </row>
    <row r="18" spans="1:15" ht="15.75" customHeight="1" thickTop="1">
      <c r="A18" s="36"/>
      <c r="B18" s="36"/>
      <c r="C18" s="65" t="s">
        <v>310</v>
      </c>
      <c r="D18"/>
      <c r="E18"/>
      <c r="F18" s="66"/>
      <c r="G18" s="66"/>
      <c r="H18" s="66"/>
      <c r="I18" s="39"/>
      <c r="J18" s="36"/>
      <c r="K18" s="67"/>
      <c r="L18" s="80"/>
      <c r="M18" s="53"/>
      <c r="N18" s="69"/>
      <c r="O18" s="37"/>
    </row>
    <row r="19" spans="1:15" ht="15.75" customHeight="1">
      <c r="A19" s="36"/>
      <c r="B19" s="36"/>
      <c r="C19" s="53"/>
      <c r="D19" t="s">
        <v>302</v>
      </c>
      <c r="E19"/>
      <c r="F19"/>
      <c r="G19"/>
      <c r="H19"/>
      <c r="I19" s="39"/>
      <c r="J19" s="36"/>
      <c r="K19" s="53"/>
      <c r="L19" s="81">
        <v>600</v>
      </c>
      <c r="M19" s="71"/>
      <c r="N19" s="74">
        <v>600</v>
      </c>
      <c r="O19" s="37"/>
    </row>
    <row r="20" spans="1:15" ht="15.75" customHeight="1">
      <c r="A20" s="36"/>
      <c r="B20" s="36"/>
      <c r="C20" s="53"/>
      <c r="D20" t="s">
        <v>303</v>
      </c>
      <c r="E20"/>
      <c r="F20"/>
      <c r="G20"/>
      <c r="H20"/>
      <c r="I20" s="39"/>
      <c r="J20" s="36"/>
      <c r="K20" s="403" t="s">
        <v>304</v>
      </c>
      <c r="L20" s="73">
        <f>IF('Data Entry'!I41&gt;499.999,IF('Data Entry'!I41&lt;600,'Data Entry'!I41,0),0)</f>
        <v>0</v>
      </c>
      <c r="M20" s="400" t="s">
        <v>304</v>
      </c>
      <c r="N20" s="74">
        <f>IF('Data Entry'!L41&gt;499.999,IF('Data Entry'!L41&lt;600,'Data Entry'!L41,0),0)</f>
        <v>0</v>
      </c>
      <c r="O20" s="37"/>
    </row>
    <row r="21" spans="1:15" ht="15.75" customHeight="1">
      <c r="A21" s="36"/>
      <c r="B21" s="36"/>
      <c r="C21" s="53"/>
      <c r="D21" t="s">
        <v>305</v>
      </c>
      <c r="E21"/>
      <c r="F21"/>
      <c r="G21"/>
      <c r="H21"/>
      <c r="I21" s="39"/>
      <c r="J21" s="36"/>
      <c r="K21" s="82" t="s">
        <v>259</v>
      </c>
      <c r="L21" s="73">
        <f>IF(L20&gt;0,ROUND(+L19-L20,4),0)</f>
        <v>0</v>
      </c>
      <c r="M21" s="76" t="s">
        <v>259</v>
      </c>
      <c r="N21" s="74">
        <f>IF(N20&gt;0,ROUND(+N19-N20,4),0)</f>
        <v>0</v>
      </c>
      <c r="O21" s="37"/>
    </row>
    <row r="22" spans="1:15" ht="15.75" customHeight="1">
      <c r="A22" s="36"/>
      <c r="B22" s="36"/>
      <c r="C22" s="53"/>
      <c r="D22" t="s">
        <v>306</v>
      </c>
      <c r="E22"/>
      <c r="F22"/>
      <c r="G22"/>
      <c r="H22"/>
      <c r="I22" s="39"/>
      <c r="J22" s="36"/>
      <c r="K22" s="403" t="s">
        <v>239</v>
      </c>
      <c r="L22" s="73">
        <v>1.1999999999999999E-3</v>
      </c>
      <c r="M22" s="75" t="s">
        <v>239</v>
      </c>
      <c r="N22" s="74">
        <v>1.2999999999999999E-3</v>
      </c>
      <c r="O22" s="37"/>
    </row>
    <row r="23" spans="1:15" ht="15.75" customHeight="1">
      <c r="A23" s="36"/>
      <c r="B23" s="36"/>
      <c r="C23" s="53"/>
      <c r="D23" t="s">
        <v>307</v>
      </c>
      <c r="E23"/>
      <c r="F23"/>
      <c r="G23"/>
      <c r="H23"/>
      <c r="I23" s="39"/>
      <c r="J23" s="36"/>
      <c r="K23" s="82" t="s">
        <v>259</v>
      </c>
      <c r="L23" s="73">
        <f>IF(L20&gt;0,ROUND(L21*L22,4),0)</f>
        <v>0</v>
      </c>
      <c r="M23" s="400" t="s">
        <v>259</v>
      </c>
      <c r="N23" s="74">
        <f>IF(N20&gt;0,ROUND(N21*N22,4),0)</f>
        <v>0</v>
      </c>
      <c r="O23" s="37"/>
    </row>
    <row r="24" spans="1:15" ht="15.75" customHeight="1">
      <c r="A24" s="36"/>
      <c r="B24" s="36"/>
      <c r="C24" s="53"/>
      <c r="D24" t="s">
        <v>308</v>
      </c>
      <c r="E24"/>
      <c r="F24"/>
      <c r="G24"/>
      <c r="H24"/>
      <c r="I24" s="39"/>
      <c r="J24" s="36"/>
      <c r="K24" s="403" t="s">
        <v>256</v>
      </c>
      <c r="L24" s="73">
        <v>1.1579999999999999</v>
      </c>
      <c r="M24" s="400" t="s">
        <v>256</v>
      </c>
      <c r="N24" s="74">
        <v>1.268</v>
      </c>
      <c r="O24" s="37"/>
    </row>
    <row r="25" spans="1:15" ht="15.75" customHeight="1" thickBot="1">
      <c r="A25" s="36"/>
      <c r="B25" s="36"/>
      <c r="C25" s="57"/>
      <c r="D25" s="58" t="s">
        <v>309</v>
      </c>
      <c r="E25" s="58"/>
      <c r="F25" s="58"/>
      <c r="G25" s="58"/>
      <c r="H25" s="58"/>
      <c r="I25" s="59"/>
      <c r="J25" s="60"/>
      <c r="K25" s="83" t="s">
        <v>259</v>
      </c>
      <c r="L25" s="78">
        <f>IF(L20&gt;0,ROUND(+L23+L24,4),0)</f>
        <v>0</v>
      </c>
      <c r="M25" s="77" t="s">
        <v>259</v>
      </c>
      <c r="N25" s="64">
        <f>IF(N20&gt;0,ROUND(+N23+N24,4),0)</f>
        <v>0</v>
      </c>
      <c r="O25" s="37"/>
    </row>
    <row r="26" spans="1:15" ht="15.75" customHeight="1" thickTop="1">
      <c r="A26" s="36"/>
      <c r="B26" s="36"/>
      <c r="C26" s="65" t="s">
        <v>311</v>
      </c>
      <c r="D26"/>
      <c r="E26"/>
      <c r="F26" s="84"/>
      <c r="G26" s="84"/>
      <c r="H26" s="66"/>
      <c r="I26" s="39"/>
      <c r="J26" s="36"/>
      <c r="K26" s="67"/>
      <c r="L26" s="85"/>
      <c r="M26" s="65"/>
      <c r="N26" s="69"/>
      <c r="O26" s="37"/>
    </row>
    <row r="27" spans="1:15" ht="15.75" customHeight="1" thickBot="1">
      <c r="A27" s="36"/>
      <c r="B27" s="36"/>
      <c r="C27" s="86"/>
      <c r="D27" s="58" t="s">
        <v>309</v>
      </c>
      <c r="E27" s="58"/>
      <c r="F27" s="58"/>
      <c r="G27" s="58"/>
      <c r="H27" s="58"/>
      <c r="I27" s="59"/>
      <c r="J27" s="60"/>
      <c r="K27" s="63"/>
      <c r="L27" s="62">
        <v>1.1579999999999999</v>
      </c>
      <c r="M27" s="63"/>
      <c r="N27" s="64">
        <v>1.268</v>
      </c>
      <c r="O27" s="37"/>
    </row>
    <row r="28" spans="1:15" ht="15.75" customHeight="1" thickTop="1">
      <c r="A28" s="36"/>
      <c r="B28" s="36"/>
      <c r="C28" s="87"/>
      <c r="D28"/>
      <c r="E28"/>
      <c r="F28"/>
      <c r="G28"/>
      <c r="H28"/>
      <c r="I28" s="39"/>
      <c r="J28" s="36"/>
      <c r="K28"/>
      <c r="L28"/>
      <c r="M28"/>
      <c r="N28"/>
      <c r="O28" s="37"/>
    </row>
    <row r="29" spans="1:15" ht="15.75" customHeight="1">
      <c r="A29" s="36"/>
      <c r="B29" s="36"/>
      <c r="C29" s="87"/>
      <c r="D29"/>
      <c r="E29"/>
      <c r="F29"/>
      <c r="G29"/>
      <c r="H29"/>
      <c r="I29" s="39"/>
      <c r="J29" s="36"/>
      <c r="K29"/>
      <c r="L29"/>
      <c r="M29"/>
      <c r="N29"/>
      <c r="O29" s="37"/>
    </row>
    <row r="30" spans="1:15" ht="15.75" customHeight="1">
      <c r="A30" s="36"/>
      <c r="B30" s="36"/>
      <c r="C30" s="87"/>
      <c r="D30"/>
      <c r="E30"/>
      <c r="F30"/>
      <c r="G30"/>
      <c r="H30"/>
      <c r="I30" s="39"/>
      <c r="J30" s="36"/>
      <c r="K30"/>
      <c r="L30"/>
      <c r="M30"/>
      <c r="N30"/>
      <c r="O30" s="37"/>
    </row>
    <row r="31" spans="1:15" ht="15.75" customHeight="1">
      <c r="A31" s="36"/>
      <c r="B31" s="36"/>
      <c r="C31" s="40" t="s">
        <v>312</v>
      </c>
      <c r="D31" s="40"/>
      <c r="E31" s="40"/>
      <c r="F31" s="40"/>
      <c r="G31" s="40"/>
      <c r="H31" s="40"/>
      <c r="I31" s="88"/>
      <c r="J31" s="397"/>
      <c r="K31" s="40"/>
      <c r="L31" s="40"/>
      <c r="M31" s="40"/>
      <c r="N31" s="40"/>
      <c r="O31" s="89"/>
    </row>
    <row r="32" spans="1:15" ht="15.75" customHeight="1" thickBot="1">
      <c r="A32" s="36"/>
      <c r="B32" s="36"/>
      <c r="C32" s="45" t="s">
        <v>298</v>
      </c>
      <c r="D32" s="45"/>
      <c r="E32" s="46"/>
      <c r="F32" s="46"/>
      <c r="G32" s="46"/>
      <c r="H32" s="46"/>
      <c r="I32" s="47"/>
      <c r="J32" s="48"/>
      <c r="K32" s="49"/>
      <c r="L32" s="50" t="s">
        <v>252</v>
      </c>
      <c r="M32" s="90"/>
      <c r="N32" s="52" t="s">
        <v>253</v>
      </c>
      <c r="O32" s="37"/>
    </row>
    <row r="33" spans="1:15" ht="15.75" customHeight="1" thickTop="1">
      <c r="A33" s="36"/>
      <c r="B33" s="36"/>
      <c r="C33" s="53" t="s">
        <v>313</v>
      </c>
      <c r="D33"/>
      <c r="E33"/>
      <c r="F33" s="54"/>
      <c r="G33" s="54"/>
      <c r="H33" s="54"/>
      <c r="I33" s="39"/>
      <c r="J33" s="36"/>
      <c r="K33" s="53"/>
      <c r="L33"/>
      <c r="M33" s="53"/>
      <c r="N33" s="91"/>
      <c r="O33" s="37"/>
    </row>
    <row r="34" spans="1:15" ht="15.75" customHeight="1" thickBot="1">
      <c r="A34" s="36"/>
      <c r="B34" s="36"/>
      <c r="C34" s="57"/>
      <c r="D34" s="58" t="s">
        <v>300</v>
      </c>
      <c r="E34" s="58"/>
      <c r="F34" s="58"/>
      <c r="G34" s="58"/>
      <c r="H34" s="58"/>
      <c r="I34" s="59"/>
      <c r="J34" s="60"/>
      <c r="K34" s="63"/>
      <c r="L34" s="62">
        <v>1.399</v>
      </c>
      <c r="M34" s="63"/>
      <c r="N34" s="64">
        <v>1.5589999999999999</v>
      </c>
      <c r="O34" s="37"/>
    </row>
    <row r="35" spans="1:15" ht="15.75" customHeight="1" thickTop="1">
      <c r="A35" s="36"/>
      <c r="B35" s="36"/>
      <c r="C35" s="65" t="s">
        <v>301</v>
      </c>
      <c r="D35"/>
      <c r="E35"/>
      <c r="F35" s="66"/>
      <c r="G35" s="66"/>
      <c r="H35" s="66"/>
      <c r="I35" s="39"/>
      <c r="J35" s="36"/>
      <c r="K35" s="92"/>
      <c r="L35" s="68"/>
      <c r="M35" s="53"/>
      <c r="N35" s="69"/>
      <c r="O35" s="37"/>
    </row>
    <row r="36" spans="1:15" ht="15.75" customHeight="1">
      <c r="A36" s="36"/>
      <c r="B36" s="36"/>
      <c r="C36" s="53"/>
      <c r="D36" t="s">
        <v>302</v>
      </c>
      <c r="E36"/>
      <c r="F36"/>
      <c r="G36"/>
      <c r="H36"/>
      <c r="I36" s="39"/>
      <c r="J36" s="36"/>
      <c r="K36" s="398"/>
      <c r="L36" s="81">
        <v>500</v>
      </c>
      <c r="M36" s="400"/>
      <c r="N36" s="74">
        <v>500</v>
      </c>
      <c r="O36" s="37"/>
    </row>
    <row r="37" spans="1:15" ht="15.75" customHeight="1">
      <c r="A37" s="36"/>
      <c r="B37" s="36"/>
      <c r="C37" s="53"/>
      <c r="D37" t="s">
        <v>303</v>
      </c>
      <c r="E37"/>
      <c r="F37"/>
      <c r="G37"/>
      <c r="H37"/>
      <c r="I37" s="39"/>
      <c r="J37" s="36"/>
      <c r="K37" s="398" t="s">
        <v>304</v>
      </c>
      <c r="L37" s="73">
        <f>IF('Data Entry'!I50&gt;99.999,IF('Data Entry'!I50&lt;500,'Data Entry'!I50,0),0)</f>
        <v>0</v>
      </c>
      <c r="M37" s="398" t="s">
        <v>304</v>
      </c>
      <c r="N37" s="74">
        <f>IF('Data Entry'!L50&gt;99.999,IF('Data Entry'!L50&lt;500,'Data Entry'!L50,0),0)</f>
        <v>0</v>
      </c>
      <c r="O37" s="37"/>
    </row>
    <row r="38" spans="1:15" ht="15.75" customHeight="1">
      <c r="A38" s="36"/>
      <c r="B38" s="36"/>
      <c r="C38" s="53"/>
      <c r="D38" t="s">
        <v>305</v>
      </c>
      <c r="E38"/>
      <c r="F38"/>
      <c r="G38"/>
      <c r="H38"/>
      <c r="I38" s="39"/>
      <c r="J38" s="36"/>
      <c r="K38" s="398" t="s">
        <v>259</v>
      </c>
      <c r="L38" s="73">
        <f>IF(L37&gt;0,ROUND(+L36-L37,4),0)</f>
        <v>0</v>
      </c>
      <c r="M38" s="398" t="s">
        <v>259</v>
      </c>
      <c r="N38" s="74">
        <f>IF(N37&gt;0,ROUND(+N36-N37,4),0)</f>
        <v>0</v>
      </c>
      <c r="O38" s="37"/>
    </row>
    <row r="39" spans="1:15" ht="15.75" customHeight="1">
      <c r="A39" s="36"/>
      <c r="B39" s="36"/>
      <c r="C39" s="53"/>
      <c r="D39" t="s">
        <v>306</v>
      </c>
      <c r="E39"/>
      <c r="F39"/>
      <c r="G39"/>
      <c r="H39"/>
      <c r="I39" s="39"/>
      <c r="J39" s="36"/>
      <c r="K39" s="398" t="s">
        <v>239</v>
      </c>
      <c r="L39" s="73">
        <v>2.9999999999999997E-4</v>
      </c>
      <c r="M39" s="398" t="s">
        <v>239</v>
      </c>
      <c r="N39" s="74">
        <v>4.0000000000000002E-4</v>
      </c>
      <c r="O39" s="37"/>
    </row>
    <row r="40" spans="1:15" ht="15.75" customHeight="1">
      <c r="A40" s="36"/>
      <c r="B40" s="36"/>
      <c r="C40" s="53"/>
      <c r="D40" t="s">
        <v>307</v>
      </c>
      <c r="E40"/>
      <c r="F40"/>
      <c r="G40"/>
      <c r="H40"/>
      <c r="I40" s="39"/>
      <c r="J40" s="36"/>
      <c r="K40" s="398" t="s">
        <v>259</v>
      </c>
      <c r="L40" s="73">
        <f>IF(L37&gt;0,ROUND(L38*L39,4),0)</f>
        <v>0</v>
      </c>
      <c r="M40" s="398" t="s">
        <v>259</v>
      </c>
      <c r="N40" s="74">
        <f>IF(N37&gt;0,ROUND(N38*N39,4),0)</f>
        <v>0</v>
      </c>
      <c r="O40" s="37"/>
    </row>
    <row r="41" spans="1:15" ht="15.75" customHeight="1">
      <c r="A41" s="36"/>
      <c r="B41" s="36"/>
      <c r="C41" s="53"/>
      <c r="D41" t="s">
        <v>308</v>
      </c>
      <c r="E41"/>
      <c r="F41"/>
      <c r="G41"/>
      <c r="H41"/>
      <c r="I41" s="39"/>
      <c r="J41" s="36"/>
      <c r="K41" s="398" t="s">
        <v>256</v>
      </c>
      <c r="L41" s="73">
        <v>1.278</v>
      </c>
      <c r="M41" s="398" t="s">
        <v>256</v>
      </c>
      <c r="N41" s="74">
        <v>1.3979999999999999</v>
      </c>
      <c r="O41" s="37"/>
    </row>
    <row r="42" spans="1:15" ht="15.75" customHeight="1" thickBot="1">
      <c r="A42" s="36"/>
      <c r="B42" s="36"/>
      <c r="C42" s="57"/>
      <c r="D42" s="58" t="s">
        <v>309</v>
      </c>
      <c r="E42" s="58"/>
      <c r="F42" s="58"/>
      <c r="G42" s="58"/>
      <c r="H42" s="58"/>
      <c r="I42" s="59"/>
      <c r="J42" s="60"/>
      <c r="K42" s="83" t="s">
        <v>259</v>
      </c>
      <c r="L42" s="78">
        <f>IF(L37&gt;0,ROUND(+L40+L41,4),0)</f>
        <v>0</v>
      </c>
      <c r="M42" s="83" t="s">
        <v>259</v>
      </c>
      <c r="N42" s="64">
        <f>IF(N37&gt;0,ROUND(+N40+N41,4),0)</f>
        <v>0</v>
      </c>
      <c r="O42" s="37"/>
    </row>
    <row r="43" spans="1:15" ht="15.75" customHeight="1" thickTop="1">
      <c r="A43" s="36"/>
      <c r="B43" s="36"/>
      <c r="C43" s="65" t="s">
        <v>310</v>
      </c>
      <c r="D43"/>
      <c r="E43"/>
      <c r="F43" s="66"/>
      <c r="G43" s="66"/>
      <c r="H43" s="66"/>
      <c r="I43" s="39"/>
      <c r="J43" s="36"/>
      <c r="K43" s="67"/>
      <c r="L43" s="68"/>
      <c r="M43" s="53"/>
      <c r="N43" s="69"/>
      <c r="O43" s="37"/>
    </row>
    <row r="44" spans="1:15" ht="15.75" customHeight="1">
      <c r="A44" s="36"/>
      <c r="B44" s="36"/>
      <c r="C44" s="53"/>
      <c r="D44" t="s">
        <v>302</v>
      </c>
      <c r="E44"/>
      <c r="F44"/>
      <c r="G44"/>
      <c r="H44"/>
      <c r="I44" s="39"/>
      <c r="J44" s="36"/>
      <c r="K44" s="398"/>
      <c r="L44" s="81">
        <v>600</v>
      </c>
      <c r="M44" s="400"/>
      <c r="N44" s="74">
        <v>600</v>
      </c>
      <c r="O44" s="37"/>
    </row>
    <row r="45" spans="1:15" ht="15.75" customHeight="1">
      <c r="A45" s="36"/>
      <c r="B45" s="36"/>
      <c r="C45" s="53"/>
      <c r="D45" t="s">
        <v>303</v>
      </c>
      <c r="E45"/>
      <c r="F45"/>
      <c r="G45"/>
      <c r="H45"/>
      <c r="I45" s="39"/>
      <c r="J45" s="36"/>
      <c r="K45" s="398" t="s">
        <v>304</v>
      </c>
      <c r="L45" s="73">
        <f>IF('Data Entry'!I50&gt;499.999,IF('Data Entry'!I50&lt;600,'Data Entry'!I50,0),0)</f>
        <v>0</v>
      </c>
      <c r="M45" s="398" t="s">
        <v>304</v>
      </c>
      <c r="N45" s="74">
        <f>IF('Data Entry'!L50&gt;499.999,IF('Data Entry'!L50&lt;600,'Data Entry'!L50,0),0)</f>
        <v>0</v>
      </c>
      <c r="O45" s="37"/>
    </row>
    <row r="46" spans="1:15" ht="15.75" customHeight="1">
      <c r="A46" s="36"/>
      <c r="B46" s="36"/>
      <c r="C46" s="53"/>
      <c r="D46" t="s">
        <v>305</v>
      </c>
      <c r="E46"/>
      <c r="F46"/>
      <c r="G46"/>
      <c r="H46"/>
      <c r="I46" s="39"/>
      <c r="J46" s="36"/>
      <c r="K46" s="398" t="s">
        <v>259</v>
      </c>
      <c r="L46" s="73">
        <f>IF(L45&gt;0,ROUND(+L44-L45,4),0)</f>
        <v>0</v>
      </c>
      <c r="M46" s="398" t="s">
        <v>259</v>
      </c>
      <c r="N46" s="74">
        <f>IF(N45&gt;0,ROUND(+N44-N45,4),0)</f>
        <v>0</v>
      </c>
      <c r="O46" s="37"/>
    </row>
    <row r="47" spans="1:15" ht="15.75" customHeight="1">
      <c r="A47" s="36"/>
      <c r="B47" s="36"/>
      <c r="C47" s="53"/>
      <c r="D47" t="s">
        <v>306</v>
      </c>
      <c r="E47"/>
      <c r="F47"/>
      <c r="G47"/>
      <c r="H47"/>
      <c r="I47" s="39"/>
      <c r="J47" s="36"/>
      <c r="K47" s="398" t="s">
        <v>239</v>
      </c>
      <c r="L47" s="73">
        <v>1.1999999999999999E-3</v>
      </c>
      <c r="M47" s="398" t="s">
        <v>239</v>
      </c>
      <c r="N47" s="74">
        <v>1.2999999999999999E-3</v>
      </c>
      <c r="O47" s="37"/>
    </row>
    <row r="48" spans="1:15" ht="15.75" customHeight="1">
      <c r="A48" s="36"/>
      <c r="B48" s="36"/>
      <c r="C48" s="53"/>
      <c r="D48" t="s">
        <v>307</v>
      </c>
      <c r="E48"/>
      <c r="F48"/>
      <c r="G48"/>
      <c r="H48"/>
      <c r="I48" s="39"/>
      <c r="J48" s="36"/>
      <c r="K48" s="398" t="s">
        <v>259</v>
      </c>
      <c r="L48" s="73">
        <f>IF(L45&gt;0,ROUND(L46*L47,4),0)</f>
        <v>0</v>
      </c>
      <c r="M48" s="398" t="s">
        <v>259</v>
      </c>
      <c r="N48" s="74">
        <f>IF(N45&gt;0,ROUND(N46*N47,4),0)</f>
        <v>0</v>
      </c>
      <c r="O48" s="37"/>
    </row>
    <row r="49" spans="1:31" ht="15.75" customHeight="1">
      <c r="A49" s="36"/>
      <c r="B49" s="36"/>
      <c r="C49" s="53"/>
      <c r="D49" t="s">
        <v>308</v>
      </c>
      <c r="E49"/>
      <c r="F49"/>
      <c r="G49"/>
      <c r="H49"/>
      <c r="I49" s="39"/>
      <c r="J49" s="36"/>
      <c r="K49" s="398" t="s">
        <v>256</v>
      </c>
      <c r="L49" s="73">
        <v>1.1579999999999999</v>
      </c>
      <c r="M49" s="398" t="s">
        <v>256</v>
      </c>
      <c r="N49" s="74">
        <v>1.268</v>
      </c>
      <c r="O49" s="37"/>
    </row>
    <row r="50" spans="1:31" ht="15.75" customHeight="1" thickBot="1">
      <c r="A50" s="36"/>
      <c r="B50" s="36"/>
      <c r="C50" s="57"/>
      <c r="D50" s="58" t="s">
        <v>309</v>
      </c>
      <c r="E50" s="58"/>
      <c r="F50" s="58"/>
      <c r="G50" s="58"/>
      <c r="H50" s="58"/>
      <c r="I50" s="59"/>
      <c r="J50" s="60"/>
      <c r="K50" s="83" t="s">
        <v>259</v>
      </c>
      <c r="L50" s="78">
        <f>IF(L45&gt;0,ROUND(+L48+L49,4),0)</f>
        <v>0</v>
      </c>
      <c r="M50" s="83" t="s">
        <v>259</v>
      </c>
      <c r="N50" s="64">
        <f>IF(N45&gt;0,ROUND(+N48+N49,4),0)</f>
        <v>0</v>
      </c>
      <c r="O50" s="37"/>
    </row>
    <row r="51" spans="1:31" ht="15.75" customHeight="1" thickTop="1">
      <c r="A51" s="36"/>
      <c r="B51" s="36"/>
      <c r="C51" s="65" t="s">
        <v>311</v>
      </c>
      <c r="D51"/>
      <c r="E51"/>
      <c r="F51" s="84"/>
      <c r="G51" s="84"/>
      <c r="H51" s="66"/>
      <c r="I51" s="39"/>
      <c r="J51" s="36"/>
      <c r="K51" s="67"/>
      <c r="L51" s="80"/>
      <c r="M51" s="53"/>
      <c r="N51" s="69"/>
      <c r="O51" s="37"/>
    </row>
    <row r="52" spans="1:31" ht="15.75" customHeight="1" thickBot="1">
      <c r="A52" s="36"/>
      <c r="B52" s="36"/>
      <c r="C52" s="86"/>
      <c r="D52" s="58" t="s">
        <v>309</v>
      </c>
      <c r="E52" s="58"/>
      <c r="F52" s="58"/>
      <c r="G52" s="58"/>
      <c r="H52" s="58"/>
      <c r="I52" s="59"/>
      <c r="J52" s="60"/>
      <c r="K52" s="63"/>
      <c r="L52" s="62">
        <v>1.1579999999999999</v>
      </c>
      <c r="M52" s="93"/>
      <c r="N52" s="64">
        <v>1.268</v>
      </c>
      <c r="O52" s="37"/>
    </row>
    <row r="53" spans="1:31" ht="15.75" customHeight="1" thickTop="1">
      <c r="A53" s="36"/>
      <c r="B53" s="36"/>
      <c r="C53" s="36"/>
      <c r="D53" s="36"/>
      <c r="E53" s="39"/>
      <c r="F53" s="39"/>
      <c r="G53" s="39"/>
      <c r="H53" s="36"/>
      <c r="I53" s="39"/>
      <c r="J53" s="36"/>
      <c r="K53" s="36"/>
      <c r="L53" s="37"/>
      <c r="M53" s="37"/>
      <c r="N53" s="36"/>
      <c r="O53" s="37"/>
    </row>
    <row r="54" spans="1:31" ht="15.75" customHeight="1">
      <c r="A54" s="36"/>
      <c r="B54" s="36"/>
      <c r="C54" s="36"/>
      <c r="D54" s="36"/>
      <c r="E54" s="39"/>
      <c r="F54" s="39"/>
      <c r="G54" s="39"/>
      <c r="H54" s="36"/>
      <c r="I54" s="39"/>
      <c r="J54" s="36"/>
      <c r="K54" s="36"/>
      <c r="L54" s="37"/>
      <c r="M54" s="37"/>
      <c r="N54" s="36"/>
      <c r="O54" s="37"/>
    </row>
    <row r="55" spans="1:31" ht="15.75" customHeight="1">
      <c r="A55" s="36"/>
      <c r="B55" s="36"/>
      <c r="C55" s="36"/>
      <c r="D55" s="36"/>
      <c r="E55" s="39"/>
      <c r="F55" s="39"/>
      <c r="G55" s="39"/>
      <c r="H55" s="36"/>
      <c r="I55" s="39"/>
      <c r="J55" s="36"/>
      <c r="K55" s="36"/>
      <c r="L55" s="37"/>
      <c r="M55" s="37"/>
      <c r="N55" s="36"/>
      <c r="O55" s="37"/>
    </row>
    <row r="56" spans="1:31" ht="15.75" customHeight="1">
      <c r="A56" s="36"/>
      <c r="B56" s="94" t="s">
        <v>314</v>
      </c>
      <c r="C56" s="94"/>
      <c r="D56"/>
      <c r="E56"/>
      <c r="F56"/>
      <c r="G56" s="39"/>
      <c r="H56" s="36"/>
      <c r="I56" s="39"/>
      <c r="J56" s="36"/>
      <c r="K56" s="36"/>
      <c r="L56" s="37"/>
      <c r="M56" s="37"/>
      <c r="N56" s="36"/>
      <c r="O56" s="37"/>
    </row>
    <row r="57" spans="1:31" ht="15.75" customHeight="1">
      <c r="A57" s="36"/>
      <c r="B57" s="389">
        <v>1</v>
      </c>
      <c r="C57" t="s">
        <v>315</v>
      </c>
      <c r="D57"/>
      <c r="E57"/>
      <c r="F57"/>
      <c r="G57" s="39"/>
      <c r="H57" s="36"/>
      <c r="I57" s="39"/>
      <c r="J57" s="36"/>
      <c r="K57" s="36"/>
      <c r="L57" s="95">
        <f>IF('Data Entry'!I41&gt;0,IF('Data Entry'!I41&lt;100,L9,IF('Data Entry'!I41&lt;500,L17,IF('Data Entry'!I41&lt;600,L25,L27))),0)</f>
        <v>1.1579999999999999</v>
      </c>
      <c r="M57" s="37"/>
      <c r="N57" s="70">
        <f>IF('Data Entry'!L41&gt;0,IF('Data Entry'!L41&lt;100,N9,IF('Data Entry'!L41&lt;500,N17,IF('Data Entry'!L41&lt;600,N25,N27))),0)</f>
        <v>1.478</v>
      </c>
      <c r="O57" s="37"/>
    </row>
    <row r="58" spans="1:31" ht="15.75" customHeight="1">
      <c r="A58" s="36"/>
      <c r="B58" s="389">
        <v>2</v>
      </c>
      <c r="C58" t="s">
        <v>316</v>
      </c>
      <c r="D58"/>
      <c r="E58"/>
      <c r="F58"/>
      <c r="G58" s="39"/>
      <c r="H58" s="36"/>
      <c r="I58" s="39"/>
      <c r="J58" s="36"/>
      <c r="K58" s="36"/>
      <c r="L58" s="70">
        <f>IF(AND('Data Entry'!I50=0,'Data Entry'!$A$27="X"),1.158,IF('Data Entry'!I50&gt;0,IF('Data Entry'!I50&lt;100,L34,IF('Data Entry'!I50&lt;500,L42,IF('Data Entry'!I50&lt;600,L50,L52))),0))</f>
        <v>0</v>
      </c>
      <c r="M58" s="37"/>
      <c r="N58" s="70">
        <f>IF(AND('Data Entry'!L50=0,'Data Entry'!$A$27="X"),1.268,IF('Data Entry'!L50&gt;0,IF('Data Entry'!L50&lt;100,N34,IF('Data Entry'!L50&lt;500,N42,IF('Data Entry'!L50&lt;600,N50,N52))),0))</f>
        <v>0</v>
      </c>
      <c r="O58" s="37"/>
    </row>
    <row r="59" spans="1:31" ht="15.75" customHeight="1">
      <c r="A59" s="36"/>
      <c r="B59" s="389">
        <v>3</v>
      </c>
      <c r="C59" s="96" t="s">
        <v>317</v>
      </c>
      <c r="D59" s="97"/>
      <c r="E59" s="97"/>
      <c r="F59" s="97"/>
      <c r="G59" s="98"/>
      <c r="H59" s="99"/>
      <c r="I59" s="98"/>
      <c r="J59" s="99"/>
      <c r="K59" s="99"/>
      <c r="L59" s="70">
        <f>IF(StudCntK8CY=0,0,IF(OR('Data Entry'!B29="X",'Data Entry'!B30="X",'Data Entry'!B31="X",'Data Entry'!B32="X"),Calculations!L58,Calculations!L57))</f>
        <v>1.1579999999999999</v>
      </c>
      <c r="M59" s="100"/>
      <c r="N59" s="70">
        <f>IF(StudCnt912CY=0,0,IF(OR('Data Entry'!B29="X",'Data Entry'!B30="X",'Data Entry'!B31="X",'Data Entry'!B32="X"),Calculations!N58,Calculations!N57))</f>
        <v>1.478</v>
      </c>
      <c r="O59" s="37"/>
    </row>
    <row r="61" spans="1:31" ht="12.75">
      <c r="A61" s="94"/>
      <c r="C61" s="94"/>
      <c r="D61" s="94"/>
      <c r="E61" s="94"/>
      <c r="F61" s="94"/>
    </row>
    <row r="62" spans="1:31" ht="12.75">
      <c r="A62" s="94"/>
      <c r="B62" s="101" t="s">
        <v>318</v>
      </c>
      <c r="C62" s="94"/>
      <c r="D62" s="94"/>
      <c r="E62" s="94"/>
      <c r="F62" s="94"/>
      <c r="T62" s="484"/>
      <c r="U62" s="484"/>
      <c r="V62" s="484"/>
      <c r="W62" s="484"/>
      <c r="X62" s="484"/>
      <c r="Y62" s="484"/>
      <c r="Z62" s="484"/>
      <c r="AA62" s="484"/>
      <c r="AB62" s="484"/>
      <c r="AC62" s="484"/>
      <c r="AD62" s="484"/>
      <c r="AE62" s="484"/>
    </row>
    <row r="63" spans="1:31" ht="12.75" customHeight="1">
      <c r="B63" s="620" t="s">
        <v>319</v>
      </c>
      <c r="C63" s="620"/>
      <c r="D63" s="620"/>
      <c r="E63" s="620"/>
      <c r="F63" s="620"/>
      <c r="G63" s="620"/>
      <c r="H63" s="620"/>
      <c r="I63" s="620"/>
      <c r="J63" s="620"/>
      <c r="K63" s="620"/>
      <c r="L63" s="620"/>
      <c r="M63" s="620"/>
      <c r="N63" s="620"/>
      <c r="O63" s="620"/>
      <c r="P63" s="102"/>
    </row>
    <row r="64" spans="1:31" ht="12.75" customHeight="1">
      <c r="B64" s="620"/>
      <c r="C64" s="620"/>
      <c r="D64" s="620"/>
      <c r="E64" s="620"/>
      <c r="F64" s="620"/>
      <c r="G64" s="620"/>
      <c r="H64" s="620"/>
      <c r="I64" s="620"/>
      <c r="J64" s="620"/>
      <c r="K64" s="620"/>
      <c r="L64" s="620"/>
      <c r="M64" s="620"/>
      <c r="N64" s="620"/>
      <c r="O64" s="620"/>
      <c r="P64" s="102"/>
    </row>
    <row r="65" spans="1:26" ht="12.75" customHeight="1">
      <c r="B65" s="620"/>
      <c r="C65" s="620"/>
      <c r="D65" s="620"/>
      <c r="E65" s="620"/>
      <c r="F65" s="620"/>
      <c r="G65" s="620"/>
      <c r="H65" s="620"/>
      <c r="I65" s="620"/>
      <c r="J65" s="620"/>
      <c r="K65" s="620"/>
      <c r="L65" s="620"/>
      <c r="M65" s="620"/>
      <c r="N65" s="620"/>
      <c r="O65" s="620"/>
      <c r="P65" s="102"/>
    </row>
    <row r="66" spans="1:26" ht="12.75" customHeight="1">
      <c r="B66" s="620"/>
      <c r="C66" s="620"/>
      <c r="D66" s="620"/>
      <c r="E66" s="620"/>
      <c r="F66" s="620"/>
      <c r="G66" s="620"/>
      <c r="H66" s="620"/>
      <c r="I66" s="620"/>
      <c r="J66" s="620"/>
      <c r="K66" s="620"/>
      <c r="L66" s="620"/>
      <c r="M66" s="620"/>
      <c r="N66" s="620"/>
      <c r="O66" s="620"/>
      <c r="P66" s="102"/>
    </row>
    <row r="67" spans="1:26" ht="12.75" customHeight="1">
      <c r="B67" s="620"/>
      <c r="C67" s="620"/>
      <c r="D67" s="620"/>
      <c r="E67" s="620"/>
      <c r="F67" s="620"/>
      <c r="G67" s="620"/>
      <c r="H67" s="620"/>
      <c r="I67" s="620"/>
      <c r="J67" s="620"/>
      <c r="K67" s="620"/>
      <c r="L67" s="620"/>
      <c r="M67" s="620"/>
      <c r="N67" s="620"/>
      <c r="O67" s="620"/>
      <c r="P67" s="102"/>
    </row>
    <row r="68" spans="1:26" ht="18" customHeight="1">
      <c r="B68" s="620"/>
      <c r="C68" s="620"/>
      <c r="D68" s="620"/>
      <c r="E68" s="620"/>
      <c r="F68" s="620"/>
      <c r="G68" s="620"/>
      <c r="H68" s="620"/>
      <c r="I68" s="620"/>
      <c r="J68" s="620"/>
      <c r="K68" s="620"/>
      <c r="L68" s="620"/>
      <c r="M68" s="620"/>
      <c r="N68" s="620"/>
      <c r="O68" s="620"/>
      <c r="P68" s="102"/>
    </row>
    <row r="69" spans="1:26" ht="12.75" customHeight="1">
      <c r="B69" s="103"/>
      <c r="C69" s="103"/>
      <c r="D69" s="103"/>
      <c r="E69" s="103"/>
      <c r="F69" s="103"/>
      <c r="G69" s="103"/>
      <c r="H69" s="103"/>
      <c r="I69" s="103"/>
      <c r="J69" s="103"/>
      <c r="K69" s="103"/>
      <c r="L69" s="103"/>
      <c r="M69" s="103"/>
      <c r="N69" s="103"/>
      <c r="O69" s="103"/>
      <c r="P69" s="102"/>
    </row>
    <row r="70" spans="1:26" ht="12.75">
      <c r="B70" s="482" t="s">
        <v>320</v>
      </c>
      <c r="C70" s="482"/>
      <c r="D70" s="482"/>
      <c r="E70" s="482"/>
      <c r="F70" s="482"/>
      <c r="G70" s="482"/>
      <c r="H70"/>
      <c r="M70" s="2"/>
      <c r="N70" s="104"/>
      <c r="V70" s="105"/>
      <c r="W70" s="105"/>
      <c r="X70" s="105"/>
      <c r="Y70" s="105"/>
      <c r="Z70" s="105"/>
    </row>
    <row r="71" spans="1:26" ht="12.75" customHeight="1">
      <c r="B71"/>
      <c r="C71"/>
      <c r="D71"/>
      <c r="E71" s="2"/>
      <c r="F71" s="106" t="s">
        <v>267</v>
      </c>
      <c r="G71" s="392" t="s">
        <v>266</v>
      </c>
      <c r="H71" s="107"/>
      <c r="M71" s="2"/>
      <c r="N71" s="104"/>
      <c r="R71" s="2"/>
    </row>
    <row r="72" spans="1:26" ht="12.75">
      <c r="B72" t="s">
        <v>321</v>
      </c>
      <c r="C72"/>
      <c r="D72"/>
      <c r="E72" s="108"/>
      <c r="F72" s="449">
        <f>NonAOIStudCntK3*0.06</f>
        <v>30.3</v>
      </c>
      <c r="G72" s="109">
        <f>NonAOIStudCntK3Read*0.04</f>
        <v>20.2</v>
      </c>
      <c r="H72" s="110"/>
      <c r="N72" s="111"/>
      <c r="R72" s="108"/>
    </row>
    <row r="73" spans="1:26" ht="12.75" customHeight="1">
      <c r="B73" t="s">
        <v>322</v>
      </c>
      <c r="C73"/>
      <c r="D73"/>
      <c r="E73" s="108"/>
      <c r="F73" s="449">
        <f>AOIFTStudCntK3*0.06*0.95</f>
        <v>0</v>
      </c>
      <c r="G73" s="109">
        <f>AOIFTStudCntK3Read*0.04*0.95</f>
        <v>0</v>
      </c>
      <c r="H73" s="110"/>
      <c r="M73" s="2"/>
      <c r="N73" s="104"/>
      <c r="Q73"/>
      <c r="R73" s="108"/>
    </row>
    <row r="74" spans="1:26" ht="12.75" customHeight="1">
      <c r="B74" t="s">
        <v>323</v>
      </c>
      <c r="C74" s="112"/>
      <c r="D74" s="112"/>
      <c r="E74" s="108"/>
      <c r="F74" s="449">
        <f>AOIPTStudCntK3*0.06*0.85</f>
        <v>0</v>
      </c>
      <c r="G74" s="109">
        <f>AOIPTStudCntK3Read*0.04*0.85</f>
        <v>0</v>
      </c>
      <c r="H74" s="110"/>
      <c r="I74"/>
      <c r="L74" t="s">
        <v>267</v>
      </c>
      <c r="M74" s="113" t="s">
        <v>6</v>
      </c>
      <c r="N74" s="114">
        <f>'BSA55'!H50*F75</f>
        <v>158030.56</v>
      </c>
      <c r="Q74" s="2"/>
      <c r="R74" s="108"/>
    </row>
    <row r="75" spans="1:26" ht="12.75">
      <c r="B75" t="s">
        <v>222</v>
      </c>
      <c r="C75" s="112"/>
      <c r="D75" s="112"/>
      <c r="E75" s="108"/>
      <c r="F75" s="448">
        <f>SUM(F72:F74)</f>
        <v>30.3</v>
      </c>
      <c r="G75" s="109">
        <f>SUM(G72:G74)</f>
        <v>20.2</v>
      </c>
      <c r="H75" s="110"/>
      <c r="I75"/>
      <c r="L75" t="s">
        <v>266</v>
      </c>
      <c r="M75" s="113" t="s">
        <v>6</v>
      </c>
      <c r="N75" s="115">
        <f>'BSA55'!H50*G75</f>
        <v>105353.71</v>
      </c>
      <c r="P75"/>
      <c r="Q75" s="108"/>
      <c r="R75" s="108"/>
    </row>
    <row r="76" spans="1:26" ht="12.75" customHeight="1">
      <c r="B76" s="112"/>
      <c r="C76" s="112"/>
      <c r="D76" s="112"/>
      <c r="E76"/>
      <c r="F76" s="112"/>
      <c r="G76" s="112"/>
      <c r="H76" s="112"/>
      <c r="I76"/>
      <c r="M76" s="2"/>
      <c r="N76" s="104"/>
      <c r="P76"/>
      <c r="Q76" s="108"/>
    </row>
    <row r="77" spans="1:26" ht="12.75" customHeight="1">
      <c r="A77" s="116"/>
      <c r="B77" s="619" t="s">
        <v>324</v>
      </c>
      <c r="C77" s="619"/>
      <c r="D77" s="619"/>
      <c r="E77" s="619"/>
      <c r="F77" s="619"/>
      <c r="G77" s="619"/>
      <c r="H77" s="112"/>
      <c r="I77"/>
      <c r="M77" s="2"/>
      <c r="N77" s="104"/>
      <c r="P77"/>
      <c r="Q77" s="108"/>
    </row>
    <row r="78" spans="1:26" ht="12.75">
      <c r="A78" s="117"/>
      <c r="B78" s="619"/>
      <c r="C78" s="619"/>
      <c r="D78" s="619"/>
      <c r="E78" s="619"/>
      <c r="F78" s="619"/>
      <c r="G78" s="619"/>
      <c r="H78"/>
      <c r="I78"/>
      <c r="M78" s="2"/>
      <c r="N78" s="104"/>
      <c r="P78"/>
      <c r="Q78" s="108"/>
    </row>
    <row r="79" spans="1:26" ht="12.75" customHeight="1">
      <c r="A79" s="117"/>
      <c r="B79" s="117"/>
      <c r="C79" s="117"/>
      <c r="M79" s="118"/>
      <c r="N79" s="119"/>
      <c r="P79" s="509"/>
      <c r="Q79" s="509"/>
      <c r="R79" s="509"/>
    </row>
    <row r="80" spans="1:26" ht="12.75" customHeight="1">
      <c r="A80" s="117"/>
      <c r="B80" s="117"/>
      <c r="C80" s="117"/>
      <c r="D80"/>
      <c r="F80" s="389"/>
      <c r="G80"/>
      <c r="H80"/>
      <c r="I80"/>
      <c r="L80"/>
      <c r="M80" s="2"/>
      <c r="N80" s="120"/>
      <c r="P80" s="509"/>
      <c r="Q80" s="509"/>
      <c r="R80" s="509"/>
    </row>
    <row r="81" spans="1:25" ht="12.75">
      <c r="A81" s="117"/>
      <c r="B81" s="117"/>
      <c r="C81" s="117"/>
      <c r="L81"/>
      <c r="M81" s="2"/>
      <c r="N81" s="120"/>
      <c r="P81" s="396"/>
      <c r="Q81" s="396"/>
      <c r="R81" s="396"/>
    </row>
    <row r="82" spans="1:25" ht="12.75">
      <c r="A82" s="117"/>
      <c r="B82" s="117"/>
      <c r="C82" s="117"/>
      <c r="L82"/>
      <c r="M82" s="2"/>
      <c r="N82" s="119"/>
      <c r="P82" s="396"/>
      <c r="Q82" s="396"/>
      <c r="R82" s="396"/>
    </row>
    <row r="83" spans="1:25" s="434" customFormat="1">
      <c r="A83" s="38"/>
      <c r="B83" s="38"/>
      <c r="C83" s="38"/>
      <c r="D83" s="38"/>
      <c r="E83" s="38"/>
      <c r="F83" s="38"/>
      <c r="G83" s="38"/>
      <c r="H83" s="38"/>
      <c r="I83" s="38"/>
      <c r="J83" s="38"/>
      <c r="K83" s="38"/>
      <c r="L83" s="38"/>
      <c r="M83" s="38"/>
      <c r="N83" s="38"/>
      <c r="O83" s="38"/>
      <c r="W83" s="435"/>
    </row>
    <row r="84" spans="1:25" s="434" customFormat="1" ht="12.75" customHeight="1">
      <c r="A84" s="38"/>
      <c r="B84" s="38"/>
      <c r="C84" s="38"/>
      <c r="D84" s="38"/>
      <c r="E84" s="38"/>
      <c r="F84" s="38"/>
      <c r="G84" s="38"/>
      <c r="H84" s="38"/>
      <c r="I84" s="38"/>
      <c r="J84" s="38"/>
      <c r="K84" s="38"/>
      <c r="L84" s="38"/>
      <c r="M84" s="38"/>
      <c r="N84" s="38"/>
      <c r="O84" s="38"/>
      <c r="W84" s="435"/>
    </row>
    <row r="85" spans="1:25" s="434" customFormat="1" ht="12.75" customHeight="1">
      <c r="A85" s="38"/>
      <c r="B85" s="38"/>
      <c r="C85" s="38"/>
      <c r="D85" s="38"/>
      <c r="E85" s="38"/>
      <c r="F85" s="38"/>
      <c r="G85" s="38"/>
      <c r="H85" s="38"/>
      <c r="I85" s="38"/>
      <c r="J85" s="38"/>
      <c r="K85" s="38"/>
      <c r="L85" s="38"/>
      <c r="M85" s="38"/>
      <c r="N85" s="38"/>
      <c r="O85" s="38"/>
      <c r="W85" s="435"/>
    </row>
    <row r="86" spans="1:25" s="434" customFormat="1" ht="12.75" customHeight="1">
      <c r="A86" s="38"/>
      <c r="B86" s="38"/>
      <c r="C86" s="38"/>
      <c r="D86" s="38"/>
      <c r="E86" s="38"/>
      <c r="F86" s="38"/>
      <c r="G86" s="38"/>
      <c r="H86" s="38"/>
      <c r="I86" s="38"/>
      <c r="J86" s="38"/>
      <c r="K86" s="38"/>
      <c r="L86" s="38"/>
      <c r="M86" s="38"/>
      <c r="N86" s="38"/>
      <c r="O86" s="38"/>
      <c r="W86" s="435"/>
    </row>
    <row r="87" spans="1:25" s="434" customFormat="1" ht="12.75" customHeight="1">
      <c r="A87" s="38"/>
      <c r="B87" s="38"/>
      <c r="C87" s="38"/>
      <c r="D87" s="38"/>
      <c r="E87" s="38"/>
      <c r="F87" s="38"/>
      <c r="G87" s="38"/>
      <c r="H87" s="38"/>
      <c r="I87" s="38"/>
      <c r="J87" s="38"/>
      <c r="K87" s="38"/>
      <c r="L87" s="38"/>
      <c r="M87" s="38"/>
      <c r="N87" s="38"/>
      <c r="O87" s="38"/>
      <c r="W87" s="435"/>
    </row>
    <row r="88" spans="1:25" s="434" customFormat="1">
      <c r="A88" s="38"/>
      <c r="B88" s="38"/>
      <c r="C88" s="38"/>
      <c r="D88" s="38"/>
      <c r="E88" s="38"/>
      <c r="F88" s="38"/>
      <c r="G88" s="38"/>
      <c r="H88" s="38"/>
      <c r="I88" s="38"/>
      <c r="J88" s="38"/>
      <c r="K88" s="38"/>
      <c r="L88" s="38"/>
      <c r="M88" s="38"/>
      <c r="N88" s="38"/>
      <c r="O88" s="38"/>
      <c r="W88" s="435"/>
    </row>
    <row r="89" spans="1:25" s="434" customFormat="1">
      <c r="A89" s="38"/>
      <c r="B89" s="38"/>
      <c r="C89" s="38"/>
      <c r="D89" s="38"/>
      <c r="E89" s="38"/>
      <c r="F89" s="38"/>
      <c r="G89" s="38"/>
      <c r="H89" s="38"/>
      <c r="I89" s="38"/>
      <c r="J89" s="38"/>
      <c r="K89" s="38"/>
      <c r="L89" s="38"/>
      <c r="M89" s="38"/>
      <c r="N89" s="38"/>
      <c r="O89" s="38"/>
      <c r="T89" s="436"/>
      <c r="X89" s="621"/>
      <c r="Y89" s="621"/>
    </row>
    <row r="90" spans="1:25" s="434" customFormat="1">
      <c r="A90" s="38"/>
      <c r="B90" s="38"/>
      <c r="C90" s="38"/>
      <c r="D90" s="38"/>
      <c r="E90" s="38"/>
      <c r="F90" s="38"/>
      <c r="G90" s="38"/>
      <c r="H90" s="38"/>
      <c r="I90" s="38"/>
      <c r="J90" s="38"/>
      <c r="K90" s="38"/>
      <c r="L90" s="38"/>
      <c r="M90" s="38"/>
      <c r="N90" s="38"/>
      <c r="O90" s="38"/>
    </row>
  </sheetData>
  <sheetProtection formatCells="0" formatColumns="0" formatRows="0"/>
  <mergeCells count="10">
    <mergeCell ref="B77:G78"/>
    <mergeCell ref="T62:AE62"/>
    <mergeCell ref="B63:O68"/>
    <mergeCell ref="L1:M1"/>
    <mergeCell ref="X89:Y89"/>
    <mergeCell ref="P79:R80"/>
    <mergeCell ref="A1:D1"/>
    <mergeCell ref="E1:G1"/>
    <mergeCell ref="J1:K1"/>
    <mergeCell ref="B70:G70"/>
  </mergeCells>
  <hyperlinks>
    <hyperlink ref="C31:O31" location="'Data Entry'!B22" display="Table 2 - Charter Holder Total Charter School Counts (only calculated if one or more criteria are checked on the Data Entry Tab)" xr:uid="{00000000-0004-0000-0900-000000000000}"/>
    <hyperlink ref="B57" r:id="rId1" display="IndividualCharterSchoolCounts" xr:uid="{00000000-0004-0000-0900-000001000000}"/>
    <hyperlink ref="B58" r:id="rId2" display="IndividualCharterSchoolCounts" xr:uid="{00000000-0004-0000-0900-000002000000}"/>
    <hyperlink ref="B59" r:id="rId3" display="IndividualCharterSchoolCounts" xr:uid="{00000000-0004-0000-0900-000003000000}"/>
    <hyperlink ref="C6:G6" r:id="rId4" display="Table 1 - Individual Charter School Counts " xr:uid="{00000000-0004-0000-0900-000004000000}"/>
    <hyperlink ref="C6:H6" location="'Data Entry'!B13" display="Table 1 - Individual Charter School Counts " xr:uid="{00000000-0004-0000-0900-000005000000}"/>
    <hyperlink ref="C31" location="'Data Entry'!B22" display="Table 2 - Charter Holder Total Charter School Counts (only calculated if one or more criteria are checked on the Data Entry Tab)" xr:uid="{00000000-0004-0000-0900-000006000000}"/>
  </hyperlinks>
  <printOptions horizontalCentered="1"/>
  <pageMargins left="0.2" right="0.2" top="0.25" bottom="0.25" header="0.5" footer="0.25"/>
  <pageSetup scale="64" orientation="portrait" r:id="rId5"/>
  <headerFooter>
    <oddFooter>&amp;L&amp;"Arial,Bold"Rev. 5/26 Arizona Department of Education and Auditor General&amp;R&amp;"Arial,Bold"Calculations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3c663f5c5ef46ef7d356c861a8b438f0">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184ef7825de702f0538f4807e7a8ae78"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B4F38B-0799-4886-B61C-8DBB46B47F73}">
  <ds:schemaRefs>
    <ds:schemaRef ds:uri="http://schemas.microsoft.com/office/2006/documentManagement/types"/>
    <ds:schemaRef ds:uri="ffcdc2e4-c8f2-4bf7-ab1d-ea300bde3fd8"/>
    <ds:schemaRef ds:uri="8385876d-3ffd-449d-b709-a8df02b96ae7"/>
    <ds:schemaRef ds:uri="http://schemas.microsoft.com/office/infopath/2007/PartnerControls"/>
    <ds:schemaRef ds:uri="http://purl.org/dc/elements/1.1/"/>
    <ds:schemaRef ds:uri="http://schemas.microsoft.com/office/2006/metadata/properties"/>
    <ds:schemaRef ds:uri="http://purl.org/dc/dcmitype/"/>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CF626EE-0146-4243-A3D9-2B2089103D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47F8EF-8AAF-48C9-9DFE-A66AC49D5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11</vt:i4>
      </vt:variant>
      <vt:variant>
        <vt:lpstr>Named Ranges</vt:lpstr>
      </vt:variant>
      <vt:variant>
        <vt:i4>321</vt:i4>
      </vt:variant>
    </vt:vector>
  </HeadingPairs>
  <TitlesOfParts>
    <vt:vector size="332" baseType="lpstr">
      <vt:lpstr>Cover</vt:lpstr>
      <vt:lpstr>Page 1</vt:lpstr>
      <vt:lpstr>Page 2</vt:lpstr>
      <vt:lpstr>Page 3</vt:lpstr>
      <vt:lpstr>Page 4</vt:lpstr>
      <vt:lpstr>Budget Summary</vt:lpstr>
      <vt:lpstr>Project balances</vt:lpstr>
      <vt:lpstr>Data Entry</vt:lpstr>
      <vt:lpstr>Calculations</vt:lpstr>
      <vt:lpstr>BSA55</vt:lpstr>
      <vt:lpstr>Instructions</vt:lpstr>
      <vt:lpstr>_CSP1000</vt:lpstr>
      <vt:lpstr>_CSP2100</vt:lpstr>
      <vt:lpstr>_CSP2200</vt:lpstr>
      <vt:lpstr>_CSP2300</vt:lpstr>
      <vt:lpstr>_CSP3300</vt:lpstr>
      <vt:lpstr>ActAuditExpend</vt:lpstr>
      <vt:lpstr>AOIFTStudCnt912CY</vt:lpstr>
      <vt:lpstr>AOIFTStudCntDD.ED.MIID.SLD.SLI.OHI</vt:lpstr>
      <vt:lpstr>AOIFTStudCntEDP</vt:lpstr>
      <vt:lpstr>AOIFTStudCntELL</vt:lpstr>
      <vt:lpstr>AOIFTStudCntFRPL</vt:lpstr>
      <vt:lpstr>AOIFTStudCntG</vt:lpstr>
      <vt:lpstr>AOIFTStudCntHI</vt:lpstr>
      <vt:lpstr>AOIFTStudCntK3</vt:lpstr>
      <vt:lpstr>AOIFTStudCntK3Read</vt:lpstr>
      <vt:lpstr>AOIFTStudCntK8CY</vt:lpstr>
      <vt:lpstr>AOIFTStudCntMDR.AR.SIDR</vt:lpstr>
      <vt:lpstr>AOIFTStudCntMDSC.ASC.SIDSC</vt:lpstr>
      <vt:lpstr>AOIFTStudCntMDSSI</vt:lpstr>
      <vt:lpstr>AOIFTStudCntMOID</vt:lpstr>
      <vt:lpstr>AOIFTStudCntOIR</vt:lpstr>
      <vt:lpstr>AOIFTStudCntOISC</vt:lpstr>
      <vt:lpstr>AOIFTStudCntP.SD</vt:lpstr>
      <vt:lpstr>AOIFTStudCntVI</vt:lpstr>
      <vt:lpstr>AOIPTStudCnt912CY</vt:lpstr>
      <vt:lpstr>AOIPTStudCntDD.ED.MIID.SLD.SLI.OHI</vt:lpstr>
      <vt:lpstr>AOIPTStudCntEDP</vt:lpstr>
      <vt:lpstr>AOIPTStudCntELL</vt:lpstr>
      <vt:lpstr>AOIPTStudCntFRPL</vt:lpstr>
      <vt:lpstr>AOIPTStudCntG</vt:lpstr>
      <vt:lpstr>AOIPTStudCntHI</vt:lpstr>
      <vt:lpstr>AOIPTStudCntK3</vt:lpstr>
      <vt:lpstr>AOIPTStudCntK3Read</vt:lpstr>
      <vt:lpstr>AOIPTStudCntK8CY</vt:lpstr>
      <vt:lpstr>AOIPTStudCntMDR.AR.SIDR</vt:lpstr>
      <vt:lpstr>AOIPTStudCntMDSC.ASC.SIDSC</vt:lpstr>
      <vt:lpstr>AOIPTStudCntMDSSI</vt:lpstr>
      <vt:lpstr>AOIPTStudCntMOID</vt:lpstr>
      <vt:lpstr>AOIPTStudCntOIR</vt:lpstr>
      <vt:lpstr>AOIPTStudCntOISC</vt:lpstr>
      <vt:lpstr>AOIPTStudCntP.SD</vt:lpstr>
      <vt:lpstr>AOIPTStudCntVI</vt:lpstr>
      <vt:lpstr>ArizonaIndustryCredentialsIncentives</vt:lpstr>
      <vt:lpstr>AverageSalaryCalculationComment</vt:lpstr>
      <vt:lpstr>AverageTeacherSalaries</vt:lpstr>
      <vt:lpstr>BudgetSummary</vt:lpstr>
      <vt:lpstr>BudgetVersion</vt:lpstr>
      <vt:lpstr>BudgetYearSalary</vt:lpstr>
      <vt:lpstr>CA0181IntangibleAssets</vt:lpstr>
      <vt:lpstr>CA0191Land</vt:lpstr>
      <vt:lpstr>CA0192SiteImprovements</vt:lpstr>
      <vt:lpstr>CA0194Buildings</vt:lpstr>
      <vt:lpstr>CA0196Equipment</vt:lpstr>
      <vt:lpstr>CA0198CIP</vt:lpstr>
      <vt:lpstr>CAK3Reading</vt:lpstr>
      <vt:lpstr>CapitalAcquisitions</vt:lpstr>
      <vt:lpstr>CharterName</vt:lpstr>
      <vt:lpstr>Check_box_if_the_district_has_been_approved_to_provide_200_days_of_instruction_by_ADE.__A.R.S._Sec._15_902.04</vt:lpstr>
      <vt:lpstr>CIP1072P265F1000</vt:lpstr>
      <vt:lpstr>CIP1072P265F1000PPL</vt:lpstr>
      <vt:lpstr>CIP1072P265F2100</vt:lpstr>
      <vt:lpstr>CIP1072P265F2100PPL</vt:lpstr>
      <vt:lpstr>CIP1072P265F2200</vt:lpstr>
      <vt:lpstr>CIP1072P265F2200PPL</vt:lpstr>
      <vt:lpstr>CIP1072P265F2300</vt:lpstr>
      <vt:lpstr>CIP1072P265F2300PPL</vt:lpstr>
      <vt:lpstr>CIP1072P265F2400</vt:lpstr>
      <vt:lpstr>CIP1072P265F2400PPL</vt:lpstr>
      <vt:lpstr>CIP1072P265F2500</vt:lpstr>
      <vt:lpstr>CIP1072P265F2500PPL</vt:lpstr>
      <vt:lpstr>CIP1072P265F2600</vt:lpstr>
      <vt:lpstr>CIP1072P265F2600PPL</vt:lpstr>
      <vt:lpstr>CIP1072P265F2900</vt:lpstr>
      <vt:lpstr>CIP1072P265F2900PPL</vt:lpstr>
      <vt:lpstr>CIP1072P435F2700</vt:lpstr>
      <vt:lpstr>CIP1072P435F2700PPL</vt:lpstr>
      <vt:lpstr>CollegeCreditExamIncentives</vt:lpstr>
      <vt:lpstr>CoverGen</vt:lpstr>
      <vt:lpstr>CoverGen1</vt:lpstr>
      <vt:lpstr>CSPTotal</vt:lpstr>
      <vt:lpstr>CTD</vt:lpstr>
      <vt:lpstr>CTDSNumber</vt:lpstr>
      <vt:lpstr>DecreaseforFedandStateMonies</vt:lpstr>
      <vt:lpstr>EmployeeBenefits</vt:lpstr>
      <vt:lpstr>EstimatedRevenues</vt:lpstr>
      <vt:lpstr>FederalandStateProjectsTotal</vt:lpstr>
      <vt:lpstr>FP11001130TitleI</vt:lpstr>
      <vt:lpstr>FP11401150TitleII</vt:lpstr>
      <vt:lpstr>FP1160TitleIV</vt:lpstr>
      <vt:lpstr>FP11701180TitleV</vt:lpstr>
      <vt:lpstr>FP1190TitleIII</vt:lpstr>
      <vt:lpstr>FP1200TitleVII</vt:lpstr>
      <vt:lpstr>FP1210TitleVI</vt:lpstr>
      <vt:lpstr>FP1220IDEA</vt:lpstr>
      <vt:lpstr>FP1230Johnson</vt:lpstr>
      <vt:lpstr>FP1240WIA</vt:lpstr>
      <vt:lpstr>FP1250AEA</vt:lpstr>
      <vt:lpstr>FP12601270VocEd</vt:lpstr>
      <vt:lpstr>FP1280TitleX</vt:lpstr>
      <vt:lpstr>FP1290Medicaid</vt:lpstr>
      <vt:lpstr>FP13__ImpactAid</vt:lpstr>
      <vt:lpstr>FP1300Charter</vt:lpstr>
      <vt:lpstr>FP13101399Other</vt:lpstr>
      <vt:lpstr>FP1420ExtendedSchool</vt:lpstr>
      <vt:lpstr>FY18Average</vt:lpstr>
      <vt:lpstr>G912SuppLvlWgt0.001to99.999</vt:lpstr>
      <vt:lpstr>G912SuppLvlWgt100.000to499.999</vt:lpstr>
      <vt:lpstr>G912SuppLvlWgt500.000to599.999</vt:lpstr>
      <vt:lpstr>G912SuppLvlWgt600.000Plus</vt:lpstr>
      <vt:lpstr>IEPtransportation</vt:lpstr>
      <vt:lpstr>IIPClassSizeReduction</vt:lpstr>
      <vt:lpstr>IIPDropoutPreventionPrograms</vt:lpstr>
      <vt:lpstr>IIPInstructionalImprovementPrograms</vt:lpstr>
      <vt:lpstr>IIPTeacherCompensationIncreases</vt:lpstr>
      <vt:lpstr>Incr200Days</vt:lpstr>
      <vt:lpstr>IncreaseSinceFY18</vt:lpstr>
      <vt:lpstr>K8SuppLvlWgt0.001to99.999</vt:lpstr>
      <vt:lpstr>K8SuppLvlWgt100.000to499.999</vt:lpstr>
      <vt:lpstr>K8SuppLvlWgt500.000to599.999</vt:lpstr>
      <vt:lpstr>K8SuppLvlWgt600.000Plus</vt:lpstr>
      <vt:lpstr>NonAOIStudCnt912CY</vt:lpstr>
      <vt:lpstr>NonAOIStudCntDD.ED.MIID.SLD.SLI.OHI</vt:lpstr>
      <vt:lpstr>NonAOIStudCntEDP</vt:lpstr>
      <vt:lpstr>NonAOIStudCntELL</vt:lpstr>
      <vt:lpstr>NonAOIStudCntFRPL</vt:lpstr>
      <vt:lpstr>NonAOIStudCntG</vt:lpstr>
      <vt:lpstr>NonAOIStudCntHI</vt:lpstr>
      <vt:lpstr>NonAOIStudCntK3</vt:lpstr>
      <vt:lpstr>NonAOIStudCntK3Read</vt:lpstr>
      <vt:lpstr>NonAOIStudCntK8CY</vt:lpstr>
      <vt:lpstr>NonAOIStudCntMDR.AR.SIDR</vt:lpstr>
      <vt:lpstr>NonAOIStudCntMDSC.ASC.SIDSC</vt:lpstr>
      <vt:lpstr>NonAOIStudCntMDSSI</vt:lpstr>
      <vt:lpstr>NonAOIStudCntMOID</vt:lpstr>
      <vt:lpstr>NonAOIStudCntOIR</vt:lpstr>
      <vt:lpstr>NonAOIStudCntOISC</vt:lpstr>
      <vt:lpstr>NonAOIStudCntP.SD</vt:lpstr>
      <vt:lpstr>NonAOIStudCntPSDCY</vt:lpstr>
      <vt:lpstr>NonAOIStudCntVI</vt:lpstr>
      <vt:lpstr>NonFedAuditExp</vt:lpstr>
      <vt:lpstr>OtherStateProjects</vt:lpstr>
      <vt:lpstr>P200CareerEducation</vt:lpstr>
      <vt:lpstr>P200CareerEducationCY</vt:lpstr>
      <vt:lpstr>P200ELLCompensatoryInstruction</vt:lpstr>
      <vt:lpstr>P200ELLCompensatoryInstructionCY</vt:lpstr>
      <vt:lpstr>P200ELLIncrementalCosts</vt:lpstr>
      <vt:lpstr>P200ELLIncrementalCostsCY</vt:lpstr>
      <vt:lpstr>P200GiftedEducation</vt:lpstr>
      <vt:lpstr>P200GiftedEducationCY</vt:lpstr>
      <vt:lpstr>P200RemedialEducation</vt:lpstr>
      <vt:lpstr>P200RemedialEducationCY</vt:lpstr>
      <vt:lpstr>P200VocationalandTechnologicalEd</vt:lpstr>
      <vt:lpstr>P200VocationalandTechnologicalEdCY</vt:lpstr>
      <vt:lpstr>Page3ClassroomSiteProjectsFunc2300</vt:lpstr>
      <vt:lpstr>Page3ClassroomSiteProjectsSubTable</vt:lpstr>
      <vt:lpstr>Pg1EmployeeBenefits</vt:lpstr>
      <vt:lpstr>Pg1General</vt:lpstr>
      <vt:lpstr>Pg1Line37</vt:lpstr>
      <vt:lpstr>Pg1Program550</vt:lpstr>
      <vt:lpstr>Pg2DebtService</vt:lpstr>
      <vt:lpstr>Pg2ExpensesByType</vt:lpstr>
      <vt:lpstr>Pg2InstructionalImprovementProj</vt:lpstr>
      <vt:lpstr>Pg2Line1</vt:lpstr>
      <vt:lpstr>Pg2Line9</vt:lpstr>
      <vt:lpstr>Pg2Lines3and4</vt:lpstr>
      <vt:lpstr>Pg2SpecialEd</vt:lpstr>
      <vt:lpstr>Pg2StateEqualAssist</vt:lpstr>
      <vt:lpstr>Pg3ClassroomSiteProj</vt:lpstr>
      <vt:lpstr>Pg4CompensatoryInstructionProj</vt:lpstr>
      <vt:lpstr>Pg4EnglishLanguageLearnerProj</vt:lpstr>
      <vt:lpstr>'Budget Summary'!Print_Area</vt:lpstr>
      <vt:lpstr>Calculations!Print_Area</vt:lpstr>
      <vt:lpstr>Cover!Print_Area</vt:lpstr>
      <vt:lpstr>'Data Entry'!Print_Area</vt:lpstr>
      <vt:lpstr>Instructions!Print_Area</vt:lpstr>
      <vt:lpstr>'Page 1'!Print_Area</vt:lpstr>
      <vt:lpstr>'Page 2'!Print_Area</vt:lpstr>
      <vt:lpstr>'Page 4'!Print_Area</vt:lpstr>
      <vt:lpstr>Print_Area</vt:lpstr>
      <vt:lpstr>Instructions!Print_Titles</vt:lpstr>
      <vt:lpstr>PriorYearSalary</vt:lpstr>
      <vt:lpstr>ProjectBalancesLine1</vt:lpstr>
      <vt:lpstr>ProjectBalancesLine2a</vt:lpstr>
      <vt:lpstr>ProjectBalancesLine2b</vt:lpstr>
      <vt:lpstr>ProjectBalancesLine2c</vt:lpstr>
      <vt:lpstr>ProjectBalancesLine3a</vt:lpstr>
      <vt:lpstr>ProjectBalancesLine3b</vt:lpstr>
      <vt:lpstr>ProjectBalancesLine4a</vt:lpstr>
      <vt:lpstr>ProjectBalancesLine4b</vt:lpstr>
      <vt:lpstr>ProjectBalancesLine4c</vt:lpstr>
      <vt:lpstr>ProjectBalancesLine4d</vt:lpstr>
      <vt:lpstr>ProjectBalancesLine5</vt:lpstr>
      <vt:lpstr>RemoteTimeAdjustment</vt:lpstr>
      <vt:lpstr>SalaryIncreaseFromPriorYear</vt:lpstr>
      <vt:lpstr>SalaryPercentageIncrease</vt:lpstr>
      <vt:lpstr>SEIP1071P260F1000</vt:lpstr>
      <vt:lpstr>SEIP1071P260F1000PPL</vt:lpstr>
      <vt:lpstr>SEIP1071P260F2100</vt:lpstr>
      <vt:lpstr>SEIP1071P260F2100PPL</vt:lpstr>
      <vt:lpstr>SEIP1071P260F2200</vt:lpstr>
      <vt:lpstr>SEIP1071P260F2200PPL</vt:lpstr>
      <vt:lpstr>SEIP1071P260F2300</vt:lpstr>
      <vt:lpstr>SEIP1071P260F2300PPL</vt:lpstr>
      <vt:lpstr>SEIP1071P260F2400</vt:lpstr>
      <vt:lpstr>SEIP1071P260F2400PPL</vt:lpstr>
      <vt:lpstr>SEIP1071P260F2500</vt:lpstr>
      <vt:lpstr>SEIP1071P260F2500PPL</vt:lpstr>
      <vt:lpstr>SEIP1071P260F2600</vt:lpstr>
      <vt:lpstr>SEIP1071P260F2600PPL</vt:lpstr>
      <vt:lpstr>SEIP1071P260F2900</vt:lpstr>
      <vt:lpstr>SEIP1071P260F2900PPL</vt:lpstr>
      <vt:lpstr>SEIP1071P430F2700</vt:lpstr>
      <vt:lpstr>SEIP1071P430F2700PPL</vt:lpstr>
      <vt:lpstr>SP1000ClassSiteProj</vt:lpstr>
      <vt:lpstr>SP1000ClassSiteProjCY</vt:lpstr>
      <vt:lpstr>SP1000CompInstrProj</vt:lpstr>
      <vt:lpstr>SP1000CompInstrProjCY</vt:lpstr>
      <vt:lpstr>SP1000FedStProj</vt:lpstr>
      <vt:lpstr>SP1000FedStProjCY</vt:lpstr>
      <vt:lpstr>SP1000InstrImpProj</vt:lpstr>
      <vt:lpstr>SP1000InstrImpProjCY</vt:lpstr>
      <vt:lpstr>SP1000P100F1000</vt:lpstr>
      <vt:lpstr>SP1000P100F1000CY</vt:lpstr>
      <vt:lpstr>SP1000P100F2100</vt:lpstr>
      <vt:lpstr>SP1000P100F2100CY</vt:lpstr>
      <vt:lpstr>SP1000P100F2200</vt:lpstr>
      <vt:lpstr>SP1000P100F2200CY</vt:lpstr>
      <vt:lpstr>SP1000P100F2300</vt:lpstr>
      <vt:lpstr>SP1000P100F2300CY</vt:lpstr>
      <vt:lpstr>SP1000P100F2400</vt:lpstr>
      <vt:lpstr>SP1000P100F2400CY</vt:lpstr>
      <vt:lpstr>SP1000P100F2500</vt:lpstr>
      <vt:lpstr>SP1000P100F2500CY</vt:lpstr>
      <vt:lpstr>SP1000P100F2600</vt:lpstr>
      <vt:lpstr>SP1000P100F2600CY</vt:lpstr>
      <vt:lpstr>SP1000P100F2900</vt:lpstr>
      <vt:lpstr>SP1000P100F2900CY</vt:lpstr>
      <vt:lpstr>SP1000P100F3000</vt:lpstr>
      <vt:lpstr>SP1000P100F3000CY</vt:lpstr>
      <vt:lpstr>SP1000P100F4000</vt:lpstr>
      <vt:lpstr>SP1000P100F4000CY</vt:lpstr>
      <vt:lpstr>SP1000P100F5000</vt:lpstr>
      <vt:lpstr>SP1000P100F5000CY</vt:lpstr>
      <vt:lpstr>SP1000P200F1000</vt:lpstr>
      <vt:lpstr>SP1000P200F1000CY</vt:lpstr>
      <vt:lpstr>SP1000P200F2100</vt:lpstr>
      <vt:lpstr>SP1000P200F2100CY</vt:lpstr>
      <vt:lpstr>SP1000P200F2200</vt:lpstr>
      <vt:lpstr>SP1000P200F2200CY</vt:lpstr>
      <vt:lpstr>SP1000P200F2300</vt:lpstr>
      <vt:lpstr>SP1000P200F2300CY</vt:lpstr>
      <vt:lpstr>SP1000P200F2400</vt:lpstr>
      <vt:lpstr>SP1000P200F2400CY</vt:lpstr>
      <vt:lpstr>SP1000P200F2500</vt:lpstr>
      <vt:lpstr>SP1000P200F2500CY</vt:lpstr>
      <vt:lpstr>SP1000P200F2600</vt:lpstr>
      <vt:lpstr>SP1000P200F2600CY</vt:lpstr>
      <vt:lpstr>SP1000P200F2900</vt:lpstr>
      <vt:lpstr>SP1000P200F2900CY</vt:lpstr>
      <vt:lpstr>SP1000P200F3000</vt:lpstr>
      <vt:lpstr>SP1000P200F3000CY</vt:lpstr>
      <vt:lpstr>SP1000P200F4000</vt:lpstr>
      <vt:lpstr>SP1000P200F4000CY</vt:lpstr>
      <vt:lpstr>SP1000P200F5000</vt:lpstr>
      <vt:lpstr>SP1000P200F5000CY</vt:lpstr>
      <vt:lpstr>SP1000P400</vt:lpstr>
      <vt:lpstr>SP1000P400CY</vt:lpstr>
      <vt:lpstr>SP1000P530</vt:lpstr>
      <vt:lpstr>SP1000P530CY</vt:lpstr>
      <vt:lpstr>SP1000P540</vt:lpstr>
      <vt:lpstr>SP1000P540CY</vt:lpstr>
      <vt:lpstr>SP1000P550</vt:lpstr>
      <vt:lpstr>SP1000P550CY</vt:lpstr>
      <vt:lpstr>SP1000P610</vt:lpstr>
      <vt:lpstr>SP1000P610CY</vt:lpstr>
      <vt:lpstr>SP1000P620</vt:lpstr>
      <vt:lpstr>SP1000P620CY</vt:lpstr>
      <vt:lpstr>SP1000P630700800900</vt:lpstr>
      <vt:lpstr>SP1000P630700800900CY</vt:lpstr>
      <vt:lpstr>SP1000StruEngImmProj</vt:lpstr>
      <vt:lpstr>SP1000StruEngImmProjCY</vt:lpstr>
      <vt:lpstr>SP1000Total</vt:lpstr>
      <vt:lpstr>SP1000TotalCY</vt:lpstr>
      <vt:lpstr>SP1400VocEd</vt:lpstr>
      <vt:lpstr>SP1410EarlyChildhoodBlockGrant</vt:lpstr>
      <vt:lpstr>SP1425AdultBasicEd</vt:lpstr>
      <vt:lpstr>SP1430ChemicalAbuse</vt:lpstr>
      <vt:lpstr>SP1435AcademicContests</vt:lpstr>
      <vt:lpstr>SP1450GiftedEd</vt:lpstr>
      <vt:lpstr>SP1460EnvironmentalSpecialPlate</vt:lpstr>
      <vt:lpstr>SP1465CharterSchool</vt:lpstr>
      <vt:lpstr>SP14701499Other</vt:lpstr>
      <vt:lpstr>StudCnt912CY</vt:lpstr>
      <vt:lpstr>StudCntK8CY</vt:lpstr>
      <vt:lpstr>Total_Student_Count</vt:lpstr>
      <vt:lpstr>TotalCapitalAcquisitions</vt:lpstr>
      <vt:lpstr>TotalCapitalAcquisitionsCY</vt:lpstr>
      <vt:lpstr>TotalCIP</vt:lpstr>
      <vt:lpstr>TotalCIP6100</vt:lpstr>
      <vt:lpstr>TotalCIP6200</vt:lpstr>
      <vt:lpstr>TotalCIP630064006500</vt:lpstr>
      <vt:lpstr>TotalCIP6600</vt:lpstr>
      <vt:lpstr>TotalCIP6800</vt:lpstr>
      <vt:lpstr>TotalCSP6100</vt:lpstr>
      <vt:lpstr>TotalCSP6200</vt:lpstr>
      <vt:lpstr>TotalCSP630064006500</vt:lpstr>
      <vt:lpstr>TotalCSP6600</vt:lpstr>
      <vt:lpstr>TotalFederalAndStateProjects</vt:lpstr>
      <vt:lpstr>TotalFederalProjects</vt:lpstr>
      <vt:lpstr>TotalFederalProjectsCY</vt:lpstr>
      <vt:lpstr>TotalInstructionalImprovement</vt:lpstr>
      <vt:lpstr>TotalSEIP</vt:lpstr>
      <vt:lpstr>TotalSEIP6100</vt:lpstr>
      <vt:lpstr>TotalSEIP6200</vt:lpstr>
      <vt:lpstr>TotalSEIP630064006500</vt:lpstr>
      <vt:lpstr>TotalSEIP6600</vt:lpstr>
      <vt:lpstr>TotalSEIP6800</vt:lpstr>
      <vt:lpstr>TotalStateProjects</vt:lpstr>
      <vt:lpstr>TotalStateProjectsCY</vt:lpstr>
      <vt:lpstr>Version</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Annual Budget Forms-Schoolwide</dc:title>
  <dc:subject/>
  <dc:creator>Office of the Auditor General</dc:creator>
  <cp:keywords/>
  <dc:description/>
  <cp:lastModifiedBy>Frank Yanez</cp:lastModifiedBy>
  <cp:lastPrinted>2026-05-21T12:12:36Z</cp:lastPrinted>
  <dcterms:created xsi:type="dcterms:W3CDTF">1997-10-06T01:25:08Z</dcterms:created>
  <dcterms:modified xsi:type="dcterms:W3CDTF">2026-07-01T19:02:47Z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2027</vt:lpwstr>
  </property>
  <property fmtid="{D5CDD505-2E9C-101B-9397-08002B2CF9AE}" pid="3" name="BudgetTypeID">
    <vt:lpwstr>7</vt:lpwstr>
  </property>
  <property fmtid="{D5CDD505-2E9C-101B-9397-08002B2CF9AE}" pid="4" name="SchoolBySchool">
    <vt:lpwstr>0</vt:lpwstr>
  </property>
  <property fmtid="{D5CDD505-2E9C-101B-9397-08002B2CF9AE}" pid="5" name="Password">
    <vt:lpwstr>040114</vt:lpwstr>
  </property>
  <property fmtid="{D5CDD505-2E9C-101B-9397-08002B2CF9AE}" pid="6" name="ContentTypeId">
    <vt:lpwstr>0x0101001070CC293A09E046BE89913D5D7A0855</vt:lpwstr>
  </property>
  <property fmtid="{D5CDD505-2E9C-101B-9397-08002B2CF9AE}" pid="7" name="ADEGUID">
    <vt:lpwstr>28A5E202-5DE1-47E4-A6D1-78D41F3A7C75</vt:lpwstr>
  </property>
  <property fmtid="{D5CDD505-2E9C-101B-9397-08002B2CF9AE}" pid="8" name="MediaServiceImageTags">
    <vt:lpwstr/>
  </property>
</Properties>
</file>